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105" yWindow="555" windowWidth="10005" windowHeight="8670" tabRatio="879" activeTab="1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т2!$23:$23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т2!$A$3:$P$40</definedName>
    <definedName name="_xlnm.Print_Area" localSheetId="2">т3!$A$1:$P$61</definedName>
    <definedName name="_xlnm.Print_Area" localSheetId="3">т4!$A$1:$P$207</definedName>
    <definedName name="_xlnm.Print_Area" localSheetId="4">т5!$A$1:$P$526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H57" i="97"/>
  <c r="H56"/>
  <c r="H55"/>
  <c r="H54"/>
  <c r="H38" i="96"/>
  <c r="H34"/>
  <c r="H35"/>
  <c r="H36"/>
  <c r="H33"/>
  <c r="H28"/>
  <c r="H29"/>
  <c r="H30"/>
  <c r="H31"/>
  <c r="H27"/>
  <c r="I57" i="97" l="1"/>
  <c r="I56"/>
  <c r="I55"/>
  <c r="H21"/>
  <c r="H31"/>
  <c r="H40"/>
  <c r="H48"/>
  <c r="H51"/>
  <c r="H50"/>
  <c r="H47"/>
  <c r="H39"/>
  <c r="H30"/>
  <c r="H20"/>
  <c r="H46" l="1"/>
  <c r="H44"/>
  <c r="H45"/>
  <c r="H43"/>
  <c r="H42"/>
  <c r="H38"/>
  <c r="H37"/>
  <c r="H36"/>
  <c r="H35"/>
  <c r="H34"/>
  <c r="H33"/>
  <c r="H29"/>
  <c r="H28"/>
  <c r="H27"/>
  <c r="H25"/>
  <c r="H26"/>
  <c r="H24"/>
  <c r="H23"/>
  <c r="H17" s="1"/>
  <c r="H19" l="1"/>
  <c r="H18"/>
  <c r="H16"/>
  <c r="H15"/>
  <c r="H10"/>
  <c r="H11"/>
  <c r="H12"/>
  <c r="H13"/>
  <c r="H14"/>
  <c r="H9"/>
  <c r="H285" i="101" l="1"/>
  <c r="H284"/>
  <c r="H286"/>
  <c r="E285"/>
  <c r="H287"/>
  <c r="H280"/>
  <c r="H279"/>
  <c r="H281"/>
  <c r="E280"/>
  <c r="H282"/>
  <c r="E275"/>
  <c r="E276" s="1"/>
  <c r="H276" s="1"/>
  <c r="H274"/>
  <c r="E268"/>
  <c r="E269" s="1"/>
  <c r="H269" s="1"/>
  <c r="H267"/>
  <c r="E262"/>
  <c r="E263"/>
  <c r="H263" s="1"/>
  <c r="H261"/>
  <c r="E255"/>
  <c r="H255" s="1"/>
  <c r="H254"/>
  <c r="E249"/>
  <c r="H249" s="1"/>
  <c r="H248"/>
  <c r="E243"/>
  <c r="H243" s="1"/>
  <c r="H242"/>
  <c r="E235"/>
  <c r="H235" s="1"/>
  <c r="H234"/>
  <c r="E223"/>
  <c r="H223" s="1"/>
  <c r="H222"/>
  <c r="E218"/>
  <c r="E219" s="1"/>
  <c r="H219" s="1"/>
  <c r="H217"/>
  <c r="E209"/>
  <c r="H209" s="1"/>
  <c r="H208"/>
  <c r="E203"/>
  <c r="H203" s="1"/>
  <c r="H202"/>
  <c r="E197"/>
  <c r="H197" s="1"/>
  <c r="H196"/>
  <c r="E191"/>
  <c r="H191" s="1"/>
  <c r="H190"/>
  <c r="H275" l="1"/>
  <c r="H277" s="1"/>
  <c r="H268"/>
  <c r="H270"/>
  <c r="H262"/>
  <c r="H264" s="1"/>
  <c r="E256"/>
  <c r="H256" s="1"/>
  <c r="H257" s="1"/>
  <c r="E250"/>
  <c r="H250" s="1"/>
  <c r="H251" s="1"/>
  <c r="E244"/>
  <c r="H244" s="1"/>
  <c r="H245" s="1"/>
  <c r="E236"/>
  <c r="H236" s="1"/>
  <c r="H237" s="1"/>
  <c r="E224"/>
  <c r="H224" s="1"/>
  <c r="H225" s="1"/>
  <c r="H218"/>
  <c r="H220" s="1"/>
  <c r="E210"/>
  <c r="H210" s="1"/>
  <c r="H211" s="1"/>
  <c r="E204"/>
  <c r="H204" s="1"/>
  <c r="H205" s="1"/>
  <c r="E198"/>
  <c r="H198" s="1"/>
  <c r="H199" s="1"/>
  <c r="E192"/>
  <c r="H192" s="1"/>
  <c r="H193" s="1"/>
  <c r="H178" l="1"/>
  <c r="H184"/>
  <c r="H170"/>
  <c r="E185"/>
  <c r="E186" s="1"/>
  <c r="H186" s="1"/>
  <c r="E179"/>
  <c r="E180" s="1"/>
  <c r="H180" s="1"/>
  <c r="H176"/>
  <c r="H175"/>
  <c r="E171"/>
  <c r="H171" s="1"/>
  <c r="E514"/>
  <c r="H514" s="1"/>
  <c r="H512"/>
  <c r="H179" l="1"/>
  <c r="H185"/>
  <c r="H187" s="1"/>
  <c r="H181"/>
  <c r="E172"/>
  <c r="H172" s="1"/>
  <c r="H173"/>
  <c r="E513"/>
  <c r="H513" s="1"/>
  <c r="H515" s="1"/>
  <c r="E509" l="1"/>
  <c r="H509" s="1"/>
  <c r="H508"/>
  <c r="E508"/>
  <c r="H507"/>
  <c r="H502"/>
  <c r="H481"/>
  <c r="H486"/>
  <c r="H491"/>
  <c r="H496"/>
  <c r="E504"/>
  <c r="H504" s="1"/>
  <c r="E503"/>
  <c r="H503" s="1"/>
  <c r="H510" l="1"/>
  <c r="H505"/>
  <c r="E164" l="1"/>
  <c r="H164" s="1"/>
  <c r="H163"/>
  <c r="E165" l="1"/>
  <c r="H165" s="1"/>
  <c r="H166" s="1"/>
  <c r="H159" l="1"/>
  <c r="H158"/>
  <c r="H160"/>
  <c r="E159"/>
  <c r="H161"/>
  <c r="H153"/>
  <c r="H152"/>
  <c r="H154"/>
  <c r="E153"/>
  <c r="H155"/>
  <c r="H148"/>
  <c r="H147"/>
  <c r="H150" s="1"/>
  <c r="H149"/>
  <c r="E148"/>
  <c r="E143"/>
  <c r="E144" s="1"/>
  <c r="H144" s="1"/>
  <c r="I145"/>
  <c r="H142"/>
  <c r="E138"/>
  <c r="E139" s="1"/>
  <c r="H139" s="1"/>
  <c r="H137"/>
  <c r="E133"/>
  <c r="E134" s="1"/>
  <c r="H134" s="1"/>
  <c r="H132"/>
  <c r="H121"/>
  <c r="H129"/>
  <c r="H130" s="1"/>
  <c r="H126"/>
  <c r="H127" s="1"/>
  <c r="E122"/>
  <c r="H122" s="1"/>
  <c r="H143" l="1"/>
  <c r="H145"/>
  <c r="H138"/>
  <c r="H140" s="1"/>
  <c r="H133"/>
  <c r="H135" s="1"/>
  <c r="E123"/>
  <c r="H123" s="1"/>
  <c r="H124" s="1"/>
  <c r="E498" l="1"/>
  <c r="H498" s="1"/>
  <c r="E497"/>
  <c r="H497" s="1"/>
  <c r="E493"/>
  <c r="H493" s="1"/>
  <c r="E492"/>
  <c r="H492" s="1"/>
  <c r="E488"/>
  <c r="H488" s="1"/>
  <c r="E487"/>
  <c r="H487" s="1"/>
  <c r="H499" l="1"/>
  <c r="H494"/>
  <c r="H489"/>
  <c r="E483" l="1"/>
  <c r="H483"/>
  <c r="E482"/>
  <c r="H482" s="1"/>
  <c r="H484" l="1"/>
  <c r="I118" l="1"/>
  <c r="H116"/>
  <c r="H115"/>
  <c r="H117"/>
  <c r="E116"/>
  <c r="H478"/>
  <c r="H477"/>
  <c r="H479" s="1"/>
  <c r="H110"/>
  <c r="H109"/>
  <c r="H112" s="1"/>
  <c r="H111"/>
  <c r="E110"/>
  <c r="H106"/>
  <c r="H105"/>
  <c r="H104"/>
  <c r="E105"/>
  <c r="I102"/>
  <c r="E100"/>
  <c r="H100" s="1"/>
  <c r="H99"/>
  <c r="E95"/>
  <c r="H95" s="1"/>
  <c r="H94"/>
  <c r="E90"/>
  <c r="H90" s="1"/>
  <c r="H89"/>
  <c r="E85"/>
  <c r="H85" s="1"/>
  <c r="H84"/>
  <c r="H78"/>
  <c r="E79"/>
  <c r="H79" s="1"/>
  <c r="H73"/>
  <c r="E74"/>
  <c r="H74" s="1"/>
  <c r="H471"/>
  <c r="E473"/>
  <c r="E472" s="1"/>
  <c r="H472" s="1"/>
  <c r="E468"/>
  <c r="H468" s="1"/>
  <c r="H466"/>
  <c r="H107" l="1"/>
  <c r="E96"/>
  <c r="H96" s="1"/>
  <c r="H118"/>
  <c r="E91"/>
  <c r="H91" s="1"/>
  <c r="H92" s="1"/>
  <c r="E101"/>
  <c r="H101" s="1"/>
  <c r="H102" s="1"/>
  <c r="H97"/>
  <c r="E86"/>
  <c r="H86" s="1"/>
  <c r="H87" s="1"/>
  <c r="E80"/>
  <c r="H80" s="1"/>
  <c r="H81" s="1"/>
  <c r="E75"/>
  <c r="H75" s="1"/>
  <c r="H76" s="1"/>
  <c r="H473"/>
  <c r="H474" s="1"/>
  <c r="E467"/>
  <c r="H467" s="1"/>
  <c r="H469" s="1"/>
  <c r="E463" l="1"/>
  <c r="H463" s="1"/>
  <c r="H461"/>
  <c r="E458"/>
  <c r="H458" s="1"/>
  <c r="H456"/>
  <c r="E462" l="1"/>
  <c r="H462" s="1"/>
  <c r="H464" s="1"/>
  <c r="E457"/>
  <c r="H457" l="1"/>
  <c r="H459" s="1"/>
  <c r="H70" l="1"/>
  <c r="H71" s="1"/>
  <c r="I68"/>
  <c r="H66"/>
  <c r="H65"/>
  <c r="E66"/>
  <c r="H67"/>
  <c r="E453"/>
  <c r="E452" s="1"/>
  <c r="H452" s="1"/>
  <c r="H451"/>
  <c r="H445"/>
  <c r="E447"/>
  <c r="E446" s="1"/>
  <c r="H446" s="1"/>
  <c r="H60"/>
  <c r="H59"/>
  <c r="H61"/>
  <c r="H55"/>
  <c r="H54"/>
  <c r="H56"/>
  <c r="E50"/>
  <c r="H50" s="1"/>
  <c r="H49"/>
  <c r="E44"/>
  <c r="H44" s="1"/>
  <c r="H43"/>
  <c r="H439"/>
  <c r="E435"/>
  <c r="E434" s="1"/>
  <c r="H434" s="1"/>
  <c r="H433"/>
  <c r="E430"/>
  <c r="H430" s="1"/>
  <c r="H428"/>
  <c r="E425"/>
  <c r="H425" s="1"/>
  <c r="H423"/>
  <c r="H418"/>
  <c r="E420"/>
  <c r="H420" s="1"/>
  <c r="E415"/>
  <c r="E414" s="1"/>
  <c r="H414" s="1"/>
  <c r="H413"/>
  <c r="H408"/>
  <c r="E410"/>
  <c r="E409" s="1"/>
  <c r="H409" s="1"/>
  <c r="E39"/>
  <c r="H40"/>
  <c r="H38"/>
  <c r="H39"/>
  <c r="H405"/>
  <c r="H404"/>
  <c r="H401"/>
  <c r="H402" s="1"/>
  <c r="H398"/>
  <c r="H399" s="1"/>
  <c r="H395"/>
  <c r="H396" s="1"/>
  <c r="H392"/>
  <c r="H391"/>
  <c r="H388"/>
  <c r="H387"/>
  <c r="H382"/>
  <c r="E384"/>
  <c r="E383" s="1"/>
  <c r="H383" s="1"/>
  <c r="I36"/>
  <c r="H34"/>
  <c r="H33"/>
  <c r="H35"/>
  <c r="H379"/>
  <c r="H380" s="1"/>
  <c r="H28"/>
  <c r="H27"/>
  <c r="H29"/>
  <c r="H23"/>
  <c r="H22"/>
  <c r="H24"/>
  <c r="H17"/>
  <c r="E18"/>
  <c r="H18" s="1"/>
  <c r="H30" l="1"/>
  <c r="H36"/>
  <c r="H57"/>
  <c r="H68"/>
  <c r="H406"/>
  <c r="H389"/>
  <c r="H41"/>
  <c r="H453"/>
  <c r="H454" s="1"/>
  <c r="H62"/>
  <c r="H447"/>
  <c r="H448" s="1"/>
  <c r="E19"/>
  <c r="H19" s="1"/>
  <c r="H20" s="1"/>
  <c r="H410"/>
  <c r="H411" s="1"/>
  <c r="H393"/>
  <c r="E51"/>
  <c r="H51" s="1"/>
  <c r="H52" s="1"/>
  <c r="E45"/>
  <c r="H45" s="1"/>
  <c r="H46" s="1"/>
  <c r="E441"/>
  <c r="H435"/>
  <c r="H436" s="1"/>
  <c r="E429"/>
  <c r="H429" s="1"/>
  <c r="H431" s="1"/>
  <c r="E424"/>
  <c r="H424" s="1"/>
  <c r="H426" s="1"/>
  <c r="E419"/>
  <c r="H419" s="1"/>
  <c r="H421" s="1"/>
  <c r="H415"/>
  <c r="H416" s="1"/>
  <c r="H384"/>
  <c r="H385" s="1"/>
  <c r="H25"/>
  <c r="E440" l="1"/>
  <c r="H440" s="1"/>
  <c r="H441"/>
  <c r="H442" l="1"/>
  <c r="E375" l="1"/>
  <c r="H375" s="1"/>
  <c r="H373"/>
  <c r="E370"/>
  <c r="E369" s="1"/>
  <c r="H369" s="1"/>
  <c r="H368"/>
  <c r="E365"/>
  <c r="E364" s="1"/>
  <c r="H364" s="1"/>
  <c r="H363"/>
  <c r="E360"/>
  <c r="E359" s="1"/>
  <c r="H359" s="1"/>
  <c r="H358"/>
  <c r="E354"/>
  <c r="E355" s="1"/>
  <c r="H355" s="1"/>
  <c r="H353"/>
  <c r="H350"/>
  <c r="H349"/>
  <c r="H345"/>
  <c r="H344"/>
  <c r="E341"/>
  <c r="H341" s="1"/>
  <c r="H339"/>
  <c r="E336"/>
  <c r="H336" s="1"/>
  <c r="H334"/>
  <c r="E331"/>
  <c r="E330" s="1"/>
  <c r="H330" s="1"/>
  <c r="H329"/>
  <c r="H326"/>
  <c r="H324"/>
  <c r="E325"/>
  <c r="H325" s="1"/>
  <c r="H351" l="1"/>
  <c r="H346"/>
  <c r="H327"/>
  <c r="H331"/>
  <c r="H332" s="1"/>
  <c r="H354"/>
  <c r="H356" s="1"/>
  <c r="E340"/>
  <c r="H340" s="1"/>
  <c r="H342" s="1"/>
  <c r="E374"/>
  <c r="H374" s="1"/>
  <c r="H376" s="1"/>
  <c r="H370"/>
  <c r="H371" s="1"/>
  <c r="H365"/>
  <c r="H366" s="1"/>
  <c r="H360"/>
  <c r="H361" s="1"/>
  <c r="E335"/>
  <c r="H335" s="1"/>
  <c r="H337" s="1"/>
  <c r="H320" l="1"/>
  <c r="H321"/>
  <c r="H316"/>
  <c r="H317"/>
  <c r="H313"/>
  <c r="H314" s="1"/>
  <c r="H310"/>
  <c r="H309"/>
  <c r="H296"/>
  <c r="H306"/>
  <c r="H307" s="1"/>
  <c r="H303"/>
  <c r="H304" s="1"/>
  <c r="H300"/>
  <c r="H301" s="1"/>
  <c r="H297"/>
  <c r="H294"/>
  <c r="H13"/>
  <c r="H12"/>
  <c r="H11"/>
  <c r="H188" i="98"/>
  <c r="H136"/>
  <c r="H187"/>
  <c r="H135"/>
  <c r="H186"/>
  <c r="H185"/>
  <c r="H133"/>
  <c r="H134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83"/>
  <c r="H184"/>
  <c r="H115"/>
  <c r="H182"/>
  <c r="H181"/>
  <c r="H108"/>
  <c r="H109"/>
  <c r="H110"/>
  <c r="H111"/>
  <c r="H112"/>
  <c r="H113"/>
  <c r="H114"/>
  <c r="H107"/>
  <c r="H106"/>
  <c r="H180"/>
  <c r="H105"/>
  <c r="H179"/>
  <c r="H178"/>
  <c r="H177"/>
  <c r="H103"/>
  <c r="H104"/>
  <c r="H96"/>
  <c r="H97"/>
  <c r="H98"/>
  <c r="H99"/>
  <c r="H100"/>
  <c r="H101"/>
  <c r="H102"/>
  <c r="H175"/>
  <c r="H176"/>
  <c r="H174"/>
  <c r="H91"/>
  <c r="H92"/>
  <c r="H93"/>
  <c r="H94"/>
  <c r="H95"/>
  <c r="H88"/>
  <c r="H89"/>
  <c r="H90"/>
  <c r="H87"/>
  <c r="H173"/>
  <c r="H172"/>
  <c r="H171"/>
  <c r="H81"/>
  <c r="H82"/>
  <c r="H83"/>
  <c r="H84"/>
  <c r="H85"/>
  <c r="H86"/>
  <c r="H80"/>
  <c r="H170"/>
  <c r="H78"/>
  <c r="H77"/>
  <c r="H76"/>
  <c r="H75"/>
  <c r="H169"/>
  <c r="H167"/>
  <c r="H168"/>
  <c r="H166"/>
  <c r="H165"/>
  <c r="H164"/>
  <c r="H66"/>
  <c r="H67"/>
  <c r="H68"/>
  <c r="H69"/>
  <c r="H70"/>
  <c r="H71"/>
  <c r="H72"/>
  <c r="H73"/>
  <c r="H74"/>
  <c r="H65"/>
  <c r="H55"/>
  <c r="H56"/>
  <c r="H57"/>
  <c r="H58"/>
  <c r="H59"/>
  <c r="H60"/>
  <c r="H61"/>
  <c r="H62"/>
  <c r="H63"/>
  <c r="H64"/>
  <c r="H54"/>
  <c r="H53"/>
  <c r="H163"/>
  <c r="H161"/>
  <c r="H51"/>
  <c r="H160"/>
  <c r="H50"/>
  <c r="H159"/>
  <c r="H158"/>
  <c r="H49"/>
  <c r="H48"/>
  <c r="H157"/>
  <c r="H42"/>
  <c r="H43"/>
  <c r="H44"/>
  <c r="H45"/>
  <c r="H46"/>
  <c r="H47"/>
  <c r="H156"/>
  <c r="H40"/>
  <c r="H41"/>
  <c r="H155"/>
  <c r="H28"/>
  <c r="H29"/>
  <c r="H30"/>
  <c r="H31"/>
  <c r="H32"/>
  <c r="H33"/>
  <c r="H34"/>
  <c r="H35"/>
  <c r="H36"/>
  <c r="H37"/>
  <c r="H38"/>
  <c r="H39"/>
  <c r="H27"/>
  <c r="H153"/>
  <c r="H25"/>
  <c r="H152"/>
  <c r="H24"/>
  <c r="H151"/>
  <c r="H146"/>
  <c r="H147"/>
  <c r="H148"/>
  <c r="H149"/>
  <c r="H150"/>
  <c r="H145"/>
  <c r="H23"/>
  <c r="H144"/>
  <c r="H22"/>
  <c r="H143"/>
  <c r="H142"/>
  <c r="H141"/>
  <c r="H140"/>
  <c r="H139"/>
  <c r="H138"/>
  <c r="H21"/>
  <c r="H20"/>
  <c r="H19"/>
  <c r="H18"/>
  <c r="H17"/>
  <c r="H16"/>
  <c r="H15"/>
  <c r="H14"/>
  <c r="H13"/>
  <c r="H12"/>
  <c r="H11"/>
  <c r="H10"/>
  <c r="H9"/>
  <c r="I140"/>
  <c r="H298" i="101" l="1"/>
  <c r="H14"/>
  <c r="H322"/>
  <c r="H311"/>
  <c r="H318"/>
</calcChain>
</file>

<file path=xl/sharedStrings.xml><?xml version="1.0" encoding="utf-8"?>
<sst xmlns="http://schemas.openxmlformats.org/spreadsheetml/2006/main" count="2837" uniqueCount="521">
  <si>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</si>
  <si>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</si>
  <si>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</si>
  <si>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</si>
  <si>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</si>
  <si>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</si>
  <si>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</si>
  <si>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</si>
  <si>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</si>
  <si>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</si>
  <si>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</si>
  <si>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</si>
  <si>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</si>
  <si>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</si>
  <si>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</si>
  <si>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тип ПС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</si>
  <si>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</si>
  <si>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</si>
  <si>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</si>
  <si>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</si>
  <si>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</si>
  <si>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</si>
  <si>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</si>
  <si>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</si>
  <si>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</si>
  <si>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</si>
  <si>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</si>
  <si>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</si>
  <si>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</si>
  <si>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</si>
  <si>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</si>
  <si>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</si>
  <si>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</si>
  <si>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</si>
  <si>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</si>
  <si>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</si>
  <si>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>Т-3, Т-4, Т-5</t>
  </si>
  <si>
    <t>Т-6</t>
  </si>
  <si>
    <t>Л-1, Л-2</t>
  </si>
  <si>
    <t>К-1, К-2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</si>
  <si>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</si>
  <si>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</si>
  <si>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</si>
  <si>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</si>
  <si>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</si>
  <si>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</si>
  <si>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</si>
  <si>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</si>
  <si>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</si>
  <si>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</si>
  <si>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</si>
  <si>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</si>
  <si>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</si>
  <si>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</si>
  <si>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</si>
  <si>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</si>
  <si>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</si>
  <si>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</si>
  <si>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</si>
  <si>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</si>
  <si>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</si>
  <si>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</si>
  <si>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</si>
  <si>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</si>
  <si>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</si>
  <si>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</si>
  <si>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</si>
  <si>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</si>
  <si>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</si>
  <si>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</si>
  <si>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</si>
  <si>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</si>
  <si>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</si>
  <si>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</si>
  <si>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1</t>
  </si>
  <si>
    <t>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</si>
  <si>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</si>
  <si>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</si>
  <si>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</si>
  <si>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</si>
  <si>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</si>
  <si>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</si>
  <si>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</si>
  <si>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</si>
  <si>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</si>
  <si>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</si>
  <si>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</si>
  <si>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</si>
  <si>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</si>
  <si>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</si>
  <si>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</si>
  <si>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</si>
  <si>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</si>
  <si>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</si>
  <si>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</si>
  <si>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</si>
  <si>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</si>
  <si>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</si>
  <si>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</si>
  <si>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</si>
  <si>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</si>
  <si>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</si>
  <si>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</si>
  <si>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</si>
  <si>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</si>
  <si>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</si>
  <si>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</si>
  <si>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</si>
  <si>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</si>
  <si>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</si>
  <si>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</si>
  <si>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</si>
  <si>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</si>
  <si>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</si>
  <si>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</si>
  <si>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</si>
  <si>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</si>
  <si>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</si>
  <si>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</si>
  <si>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</si>
  <si>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</si>
  <si>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</si>
  <si>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</si>
  <si>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</si>
  <si>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</si>
  <si>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</si>
  <si>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</si>
  <si>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</si>
  <si>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</si>
  <si>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 xml:space="preserve"> выполнение специального перехода методом горизонтально-направленного бурения</t>
  </si>
  <si>
    <t>Установки компенсации реактивной мощности (КРМ) 110-750 кВ</t>
  </si>
  <si>
    <t>Установки КРМ                         6-35 кВ</t>
  </si>
  <si>
    <t>марка (количество жил, сечение и материал жилы)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</si>
  <si>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</si>
  <si>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</si>
  <si>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</si>
  <si>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</si>
  <si>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</si>
  <si>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</si>
  <si>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 xml:space="preserve">Инвестиционная программа  АО "Новгородоблэлектро" </t>
  </si>
  <si>
    <t xml:space="preserve">                                               </t>
  </si>
  <si>
    <t>на 2020-2024 гг</t>
  </si>
  <si>
    <t>Утвержденные плановые значения показателей приведены в соответствии с приказом Министерства энергетики РФ №10 от 17.01.2019г.</t>
  </si>
  <si>
    <t>Субъекты Российской Федерации, на территории которых реализуется инвестиционный проект: Новгородская область</t>
  </si>
  <si>
    <t>Тип инвестиционного проекта:_Строительство и реконструкция</t>
  </si>
  <si>
    <t xml:space="preserve">                                                                                     </t>
  </si>
  <si>
    <t>Таблица 4. Строительство (реконструкция) ВЛ 0,4-10кВ</t>
  </si>
  <si>
    <t>Реконструкция ВЛ 0,4 кВ ул. Добролюбова, Суворовская, Достоевская от ТП 10 г. Ст. Русса</t>
  </si>
  <si>
    <t>Реконструкция ВЛ 0,4 кВ ул. Обводная, Поливановой от ТП 41 г. Ст. Русса</t>
  </si>
  <si>
    <t xml:space="preserve"> Реконструкция ВЛ-0,4кв.   ф. ул. Вихрова от ТП 54 г.Ст.Русса</t>
  </si>
  <si>
    <t>Реконструкция ВЛ 0,4 кВ  от ТП1 ул. Набережная п. Шимск</t>
  </si>
  <si>
    <t>Реконструкция ВЛ 0,4 кВ ул. Соляная от ТП 11 г. Ст. Русса</t>
  </si>
  <si>
    <t>Реконструкция ВЛ 0,4 кВ ул. Пролетарская от ТП 8  п.Парфино</t>
  </si>
  <si>
    <t>1 цепь, СИП 2 3х95+1х95, количество проводов в фазе 3</t>
  </si>
  <si>
    <t xml:space="preserve">км </t>
  </si>
  <si>
    <t>Л1-01,Л3-01, Л7-27,  Л9-01</t>
  </si>
  <si>
    <t>2020г</t>
  </si>
  <si>
    <t>Реконструкция ВЛ-10кВ Л-5 ПС Окуловская уч от опоры №21до ТП-20</t>
  </si>
  <si>
    <t>1 цепь СИП 3 1х70, количество проводов в фазе 3</t>
  </si>
  <si>
    <t>Л1-02,Л3-02, Л7-04, Л9-01</t>
  </si>
  <si>
    <t xml:space="preserve">Реконструкция ВЛ-0,4кВ от ТП-18 д. Верешино </t>
  </si>
  <si>
    <t>Реконструкция ВЛ-10кВ Л-1 ПС Крестцы уч опор 75-6 до оп 100</t>
  </si>
  <si>
    <t>Реконструкция ВЛ-0,4кВ ф. ул. Красноармейская   от ТП-4 п. Крестцы (совместный подвес с ВЛ-10кВ)</t>
  </si>
  <si>
    <t>Реконструкция ВЛ-0,4кВ ф. ул. Красноармейская   от ТП-4 п. Крестцы</t>
  </si>
  <si>
    <t>Реконструкция существующей отпаечной ВЛ-10кВ от РП-7 - РП-10 в сторону ТП-63 (замена неизолированного провода на СИП-3)</t>
  </si>
  <si>
    <t>Реконструкция ВЛ-0,4кВ от ТП-4, ф. ул. Заводская, п. Песь</t>
  </si>
  <si>
    <t xml:space="preserve">Реконструкция ВЛ-10кВ ТП-34 - ТП-86 (замена неизолированного провода на СИП-3),                                г. Боровичи, </t>
  </si>
  <si>
    <t>Реконструкция ВЛ-0,4кВ от ТП-8, ф. ул. Железнодорожная, п. Песь</t>
  </si>
  <si>
    <t>Реконструкция ВЛ-0,4кВ от ТП-131, ф. ул.2 Линия кирпичного з-да г. Боровичи</t>
  </si>
  <si>
    <t>Реконструкция ВЛ-10кВ ТП-86 - ТП-104 - ТП-105 (замена неизолированного провода на СИП-3), г. Боровичи.</t>
  </si>
  <si>
    <t>Реконструкция ВЛ-0,4кВ  от ТП-57 ф.3 г. Пестово</t>
  </si>
  <si>
    <t>Реконструкция: Перевод нагрузок с Л-3 на Л-6 ПС "Батецкая"</t>
  </si>
  <si>
    <t xml:space="preserve">Реконструкция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</si>
  <si>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>Реконструкция ВЛ 6-10кВ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</si>
  <si>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>Строительство ВЛИ-0,4кВ от ТП-53 до ВРУ жилого дома по ул. К.Либкнехта,47,  г. Боровичи</t>
  </si>
  <si>
    <t>Строительство ВЛЗ-6кВ от РП-4  до опоры существующей ВЛ-6кВ ТП-39 - ТП-126 в районе ул. Полевая, д.2, г. Боровичи, (монтаж камеры КСО в РУ-6кВ РП-4 запланирован на 2019г.)</t>
  </si>
  <si>
    <t>строительство ВЛЗ-10кВ ф.06 от ПС "Батецкая" до ТП-10 бат взамен существующей ВЛ-10кВ</t>
  </si>
  <si>
    <t>строительство ВЛЗ-10кВ ф.06 от ТП-10 бат до ТП-1 бат взамен существующей ВЛ-10кВ</t>
  </si>
  <si>
    <t>строительство отпаечной ВЛЗ-10кВ от угловой опоры проектируемой ВЛЗ-10кВ (ф.06) до проектируемой ТП-2 бат</t>
  </si>
  <si>
    <t>строительство ВЛЗ-10кВ ф.06 от проектируемой ТП-2 бат до проектируемой ТП-3 бат</t>
  </si>
  <si>
    <t>строительство ВЛЗ-10кВ ф.03 от проектируемой ТП-2 бат до проектируемой ТП-3 бат</t>
  </si>
  <si>
    <t>строительство ВЛЗ-10кВ от ТП-2 бат до ТП-5 бат взамен существующей ВЛ-10кВ</t>
  </si>
  <si>
    <t xml:space="preserve">Строительство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</si>
  <si>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ВЛ-6-10кВ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</si>
  <si>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>Строительство ВЛ-0,4кВ в целях присоед-я заявителей с запрашиваемой мощностью от 15 до 150 кВт</t>
  </si>
  <si>
    <t>Строительство ВЛ-6-10кВ в целях присоед-я заявителей с запрашиваемой мощностью от 15 до 150 кВт</t>
  </si>
  <si>
    <t>2021 год</t>
  </si>
  <si>
    <t>Реконструкция ВЛ 0,4 кВ  от ТП2 ул. Бр. Башкировых  г.Холм</t>
  </si>
  <si>
    <t>Реконструкция ВЛ 0,4 кВ  от ТП4 ул. Красноармейская  г.Холм</t>
  </si>
  <si>
    <t>Реконструкция ВЛ 0,4 кВ  от ТП1 ул. Калитина  г.Холм</t>
  </si>
  <si>
    <t>Реконструкция ВЛ 0,4 кВ  от ТП2 ул. Комсомольская  п. Уторгош</t>
  </si>
  <si>
    <t>Реконструкция ВЛ 0,4 кВ  от ТП3 ул. Молодежная  п. Уторгош</t>
  </si>
  <si>
    <t>Реконструкция ВЛ 0,4 кВ ул. Добролюбова, Гагарина от ТП 10 г. Ст. Русса</t>
  </si>
  <si>
    <t>Реконструкция ВЛ 0,4 кВ ул. Ст. Разина от ТП 7 г. Ст. Русса</t>
  </si>
  <si>
    <t>Реконструкция ВЛ 0,4 кВ ул. Правосудия, Свердлова от ТП 44 г. Ст. Русса</t>
  </si>
  <si>
    <t>Реконструкция ВЛ 0,4 кВ ул. Возрождения от ТП 44 г. Ст. Руссы</t>
  </si>
  <si>
    <t>Реконструкция ВЛ 0,4 кВ  от ТП2 ул. Садовая  п. Волот</t>
  </si>
  <si>
    <t>Реконструкция ВЛ 0,4 кВ  от ТП14 ул. Школьная  п. Волот</t>
  </si>
  <si>
    <t>Реконструкция ВЛ 0,4 кВ ул. Строительная от ТП 12 п.Парфино</t>
  </si>
  <si>
    <t>Реконструкция ВЛ 0,4 кВ  от ТП8 ул. Малогородищенская  п. Уторгош</t>
  </si>
  <si>
    <t>ВЛ-10кВ Л-1 ПС Крестцы уч оп 134а -129</t>
  </si>
  <si>
    <t>ВЛ-0,4кВ ф. М.Садовая от ТП-2 п. Крестцы (совместный подвес с ВЛ-10кВ</t>
  </si>
  <si>
    <t>ВЛ-0,4кВ ф. М.Садовая от ТП-27 п. Крестцы (совместный подвес с ВЛ-10кВ)</t>
  </si>
  <si>
    <t>Реконструкция ВЛ-6кВ ТП-39 - ТП-82 (замена неизолированного провода на СИП-3), г. Боровичи.</t>
  </si>
  <si>
    <t>Реконструкция ВЛ-0,4кВ от ТП-35, ф.2, г. Пестово.</t>
  </si>
  <si>
    <t>Реконструкция ВЛ-0,4кВ от ТП-11, ф. ОВД п. Хвойная</t>
  </si>
  <si>
    <t>Реконструкция ВЛ-0,4кВ от ТП-12, ф. ул. Ломоносова п. Хвойная</t>
  </si>
  <si>
    <t>Реконструкция ВЛ-0,4кВ от ТП-35, ф.3, г. Пестово.</t>
  </si>
  <si>
    <t>Реконструкция ВЛ-0,4кВ от ТП-56, ф. 1, г. Пестово.</t>
  </si>
  <si>
    <t>Реконструкция ВЛ-0,4кВ от ТП-34, ф.6, г. Пестово.</t>
  </si>
  <si>
    <t>Реконструкция участка ВЛ-10кВ ТП-1 - ТП-45, "Линия-2" с выносом участка из зоны частной застройки, г. Пестово.</t>
  </si>
  <si>
    <t>Реконструкция ВЛ-0,4кВ от ТП-15, ф. ул. Локомотивная п. Хвойная</t>
  </si>
  <si>
    <t>Строительство ВЛЗ-10кВ от оп.9 ВЛ-10кВ Л.8 до проектируемой ТП-67</t>
  </si>
  <si>
    <t>2022 год</t>
  </si>
  <si>
    <t>Реконструкция ВЛ 0,4 кВ  от ТП7 на ЦРБ  п. Шимск</t>
  </si>
  <si>
    <t>Реконструкция ВЛ 0,4 кВ ул. Добролюбова, 1 Мая от ТП 10 г. Ст. Русса</t>
  </si>
  <si>
    <t>Реконструкция ВЛ 0,4 кВ ул. Возрождения от ТП 63 г. Ст. Русса</t>
  </si>
  <si>
    <t>Реконструкция ВЛ 10  кВ  ТП№4 до ТП 5  п.Поддорье</t>
  </si>
  <si>
    <t>Реконструкция ВЛ 0,4  кВ  ТП№2 линия №7 п.Поддорье</t>
  </si>
  <si>
    <t>Реконструкция ВЛ 0,4  кВ  ТП№3 линия №16  п.Поддорье</t>
  </si>
  <si>
    <t>Реконструкция  ВЛ-0,4 кВ ул.Спартаковская г.Холм</t>
  </si>
  <si>
    <t>Реконструкция  ВЛ-0,4 кВ пер.Красноармейский г.Холм</t>
  </si>
  <si>
    <t>Реконструкция ВЛ 0,4 кВ  от ТП8 ул. Новгородская п. Шимск</t>
  </si>
  <si>
    <t>Реконструкция ВЛ 0,4 кВ  от ТП8 ул. Совхозная  п. Уторгош</t>
  </si>
  <si>
    <t>Реконструкция ВЛ 0,4 кВ  от ТП5 ул. Миши Васильева  п. Волот</t>
  </si>
  <si>
    <t>Реконструкция ВЛ 0,4 кВ  от ТП11 ул. Миши Васильева  п. Волот</t>
  </si>
  <si>
    <t>Реконструкция ВЛ 0,4 кВ ул. Добролюбова, Минеральная от ТП 10 г. Ст. Русса</t>
  </si>
  <si>
    <t>Реконструкция ВЛ-0,4кВ ф. "Кузнецова"</t>
  </si>
  <si>
    <t>Реконструкция ВЛ-0,4кВ от ТП-35, ф. ул. Новая п. Хвойная</t>
  </si>
  <si>
    <t>Реконструкция ВЛ-0,4кВ от ТП-35, ф. ул. Мира п. Хвойная</t>
  </si>
  <si>
    <t>Реконструкция ВЛ-0,4кВ от ТП-40, ф. ул. Сосновая п. Хвойная</t>
  </si>
  <si>
    <t>Реконструкция ВЛ-0,4кВ от ТП-21, ф. Быт ул. П.Сукнова, п. Любытино</t>
  </si>
  <si>
    <t>Реконструкция ВЛ-0,4кВ от ТП-31, ф. Быт ул.Советов, п. Любытино</t>
  </si>
  <si>
    <t>Реконструкция ВЛ-0,4кВ от ТП-9, ф. Быт, п. Любытино</t>
  </si>
  <si>
    <t>Реконструкция ВЛ-0,4кВ от ТП-8, ф. ул. Заречная,  п. Любытино</t>
  </si>
  <si>
    <t>Реконструкция ВЛ-0,4кВ от ТП-7, ф. ул. Мира,  п.Неболчи</t>
  </si>
  <si>
    <t>Реконструкция ВЛ-0,4кВ от ТП-3, ф. ул. Гагарина, с. Мошенское</t>
  </si>
  <si>
    <t>Реконструкция ВЛ-0,4кВ от ТП-83, ф. ул. Комсомольская, г. Боровичи</t>
  </si>
  <si>
    <t>Л1-01,Л3-01, Л7-27</t>
  </si>
  <si>
    <t>Строительство ВЛЗ-10кВ от ТП-41 до ТП-28</t>
  </si>
  <si>
    <t>Строительство ВЛ-10кВ от ул. Калинина (р-н ТП-9) до ул. Центральная (р-н ТП-16) для закольцовки ВЛ-10кВ Л-1, с. Мошенское.</t>
  </si>
  <si>
    <t>Строительство ВЛ-6кВ от ТП-130 до ТП-54 СИП-3 (взамен существующей)</t>
  </si>
  <si>
    <t>Строительство ВЛ-6кВ от ТП-13 до ТП-14 (взамен существующей)</t>
  </si>
  <si>
    <t>2023 год</t>
  </si>
  <si>
    <t>Реконструкция ВЛ 0,4 кВ №4 от ТП24 ул.Железнодорожная г. Сольцы</t>
  </si>
  <si>
    <t>Реконструкция ВЛ 0,4 кВ  от ТП5  фидер "Ладышкино" п.Пола</t>
  </si>
  <si>
    <t>Реконструкция ВЛ 0,4 кВ  от ТП8 ул. Коммунальная п. Шимск</t>
  </si>
  <si>
    <t>Реконструкция ВЛ 0,4 кВ  от ТП37 ул. Химиков п. Шимск</t>
  </si>
  <si>
    <t>Реконструкция ВЛ 0,4 кВ  от ТП4  линия №10 с.Белебелка</t>
  </si>
  <si>
    <t>Реконструкция ВЛ 0,4 кВ ул. Ломоносова, Некрасова от ТП 5 г. Ст. Русса</t>
  </si>
  <si>
    <t>Реконструкция ВЛ 0,4 кВ ул. Школьная от ТП 8  п.Парфино</t>
  </si>
  <si>
    <t>Реконструкция участка ВЛ-10кВ Л-4 от   ПС "Валдай" с установкой реклоузеров в кол.-2шт.   в районе опоры 33 в строну п. Короцко и г. Валдай и замена опор и неизолированого провода на СИП на уч-ке от ТП-50 (оп.139) до ЛР-8 (оп.105)</t>
  </si>
  <si>
    <t>Реконструкция ВЛ-10кВ Л-11 ПС Крестцы уч опор 100-177</t>
  </si>
  <si>
    <t>Реконструкция ВЛ-0,4кВ ф. Первомайская от ТП-39 п. Крестцы (совместный подвес с ВЛ-10кВ)</t>
  </si>
  <si>
    <t>Реконструкция ВЛ-0,4кВ от ТП-9 ф. "Московская в ст. Мира" с переводом нагрузки на проектируемую ТП-67</t>
  </si>
  <si>
    <t>Реконструкция ВЛ-0,4кВ от ТП-9 ф. "К.Дмитриева, склады РАЙПО" с переводом нагрузки на проектируемую ТП-67</t>
  </si>
  <si>
    <t>Реконструкция ВЛ-0,4кВ от ТП-9 ф. "Коробач начало" с переводом нагрузки на проектируемую ТП-67</t>
  </si>
  <si>
    <t>Реконструкция ВЛ-0,4кВ от ТП-5, ф. Линия 5, с. Опеченский Посад</t>
  </si>
  <si>
    <t>Реконструкция ВЛ-0,4кВ от ТП-2, ф.3, г. Пестово.</t>
  </si>
  <si>
    <t>Реконструкция ВЛ-0,4кВ от ТП-31, ф.3, г. Пестово.</t>
  </si>
  <si>
    <t>Реконструкция ВЛ-0,4кВ от ТП-4, ф.2, г. Пестово.</t>
  </si>
  <si>
    <t>Реконструкция ВЛ-0,4кВ от ТП-69, ф.1, г. Пестово.</t>
  </si>
  <si>
    <t>Реконструкция ВЛ-10кВ от ТП-34 в сторону ТП-43, ТП-57, Л-3 с выносом из заболоченной территории и из зоны частной застройки, г. Пестово, в т.ч.:</t>
  </si>
  <si>
    <t>Реконструкция ВЛ-10кВ ТП-11 - ТП-37 - ТП-14 Л-3 с выносом из зоны частной застройки, г. Пестово</t>
  </si>
  <si>
    <t>Реконструкция ВЛ-10кВ ТП-11 - ТП-73 с выносом из промышленной зоны, г. Пестово</t>
  </si>
  <si>
    <t>Реконструкция ВЛ-0,4кВ от ТП-1, ф. Райпо, п. Хвойная</t>
  </si>
  <si>
    <t>Реконструкция ВЛ-0,4кВ от  ТП-4, ф. ул. Вокзальная, п. Хвойная</t>
  </si>
  <si>
    <t>Реконструкция ВЛ-0,4кВ от ТП-14, ф. ул. Боровая, п. Песь</t>
  </si>
  <si>
    <t>Реконструкция ВЛ-0,4кВ от ТП-4, ф. ул. Северная, с. Анциферово</t>
  </si>
  <si>
    <t>Реконструкция ВЛ-0,4кВ от  ТП-1, ф. Больница, с. Анциферово</t>
  </si>
  <si>
    <t>Реконструкция ВЛ-0,4кВ от ТП-6, ф. ул. Связи, п. Хвойная</t>
  </si>
  <si>
    <t>Реконструкция ВЛ-0,4кВ от ТП-6, ф.Хлебозавод, п. Хвойная</t>
  </si>
  <si>
    <t xml:space="preserve">  Строительство ВЛЗ-10кВ Л-7 от ПС "Валдай"   на участке ТП-55-ТП-38   (для резервирования  Л-4 от ПС " Валдай") </t>
  </si>
  <si>
    <t>2024 год</t>
  </si>
  <si>
    <t>Реконструкция ВЛ 0,4 кВ линия №7 от КТП 3  с.Белебелка</t>
  </si>
  <si>
    <t>Реконструкция ВЛ 0,4 кВ ул. Ф. Кузьмина, Кольцевая от ТП 41 г. Ст. Русса</t>
  </si>
  <si>
    <t>Реконструкция ВЛ 0,4 кВ ул. 1 ударной армии от ТП 97 г. Ст. Русса</t>
  </si>
  <si>
    <t>Реконструкция ВЛ 0,4 кВ  от ТП7 ул. Шелонская, Новая  п. Шимск</t>
  </si>
  <si>
    <t>Реконструкция  ВЛ-0,4 кВ ул.Красноармейская от ТП№15 г.Холм</t>
  </si>
  <si>
    <t>Реконструкция  ВЛ-0,4 кВ ул.Калитина от ТП№16 г.Холм</t>
  </si>
  <si>
    <t>Реконструкция ВЛ 0,4 кВ ул. Роговская от ТП 6 г. Холм</t>
  </si>
  <si>
    <t>Реконструкция ВЛ 0,4 кВ ул. Октябрьская от ТП 2 г. Холм</t>
  </si>
  <si>
    <t>Реконструкция участка ВЛ-10кВ Л-4 от   ПС "Валдай" с  заменой опор и неизолированого провода на СИП на уч-ке от ЛР-8 (оп.105) до ТП-41 (оп.67)</t>
  </si>
  <si>
    <t xml:space="preserve">    Реконструкция ф. Черняховского от ТП-30 с разукрупнением фидера совместно с  реконструкцией ф. Сбербанк от ТП-8 и  переводом части нагрузок с ф. Черняховского от ТП-30  на ф. Сбербанк  от ТП-8) (замена опор и неизолированного провода на СИП)</t>
  </si>
  <si>
    <t xml:space="preserve"> Реконструкция ВЛ-10кВ Л-1 ПС Крестцы на уч опор 20,21,22</t>
  </si>
  <si>
    <t xml:space="preserve"> Реконструкция ВЛ-10кВ  Л-3 ТПС Угловка  уч. от оп 1 до ТП-2</t>
  </si>
  <si>
    <t>Реконструкция ВЛ-0,4кВ от ТП-27, ф. Быт, п. Любытино</t>
  </si>
  <si>
    <t>Реконструкция ВЛ-0,4кВ от ТП-12, ф. ул. Комсомольская, п. Неболчи</t>
  </si>
  <si>
    <t>Реконструкция ВЛ-0,4кВ от ТП-22, ф. ул. Строителей, п. Любытино</t>
  </si>
  <si>
    <t>Реконструкция ВЛ-0,4кВ от ТП-4, ф. ул. Вокзальная, Красноармейская, п. Неболчи</t>
  </si>
  <si>
    <t>Реконструкция участка ВЛ-0,4кВ от ТП-1 по ул. Кировская и перевод на проектируемую ТП, с.Мошенское</t>
  </si>
  <si>
    <t>Реконструкция ВЛ-0,4кВ от ТП-59, ф. 4, г. Пестово.</t>
  </si>
  <si>
    <t>Реконструкция ВЛ-0,4кВ от ТП-59, ф. 12, г. Пестово.</t>
  </si>
  <si>
    <t>Реконструкция ВЛ-0,4кВ от ТП-15, ф. 3, г. Пестово.</t>
  </si>
  <si>
    <t>Реконструкция ВЛ-0,4кВ от ТП-7, ф. 1, г. Пестово.</t>
  </si>
  <si>
    <t>Реконструкция ВЛ-0,4кВ от ТП-28, ф. Котельная, п. Хвойная</t>
  </si>
  <si>
    <t>Реконструкция ВЛ-0,4кВ от ТП-1, ф. ул. Новая, п. Песь</t>
  </si>
  <si>
    <t>Реконструкция ВЛ-0,4кВ от ТП-14, ф. ул. Молодёжная, п. Песь</t>
  </si>
  <si>
    <t>Реконструкция ВЛ-0,4кВ от ТП-6, ф. ул. Спорта, п. Хвойная</t>
  </si>
  <si>
    <t>Реконструкция ВЛ-0,4кВ от ТП-8, ф. ул. Комсомольская, п. Хвойная</t>
  </si>
  <si>
    <t>Реконструкция ВЛ-0,4кВ от ТП-9, ф. ул. Мира, п. Хвойная</t>
  </si>
  <si>
    <t>Реконструкция ВЛ-0,4кВ от ТП-9, ф. ул. Физкультурников, п. Хвойная</t>
  </si>
  <si>
    <t>Реконструкция ВЛ-0,4кВ от ТП-12, ф. ул. Советская, п. Хвойная</t>
  </si>
  <si>
    <t>Строительство ВЛИ-0,4кВ от ТП-17 до ИФНС по ул. Гоголя, 113 взамен существующей дефектной КЛ-0,4кВ, г. Боровичи.</t>
  </si>
  <si>
    <t>Строительство кольцевой ВЛЗ-10кВ от ТП-168 до проектируемой ТП 3-го этапа в мкр. Раздолье.</t>
  </si>
  <si>
    <t>ВЛ-6/10кВ</t>
  </si>
  <si>
    <t>ВЛ 0,4 кВ</t>
  </si>
  <si>
    <t>Таблица 5. Строительство (реконструкция) КЛ 0,4-10 кВ</t>
  </si>
  <si>
    <t>КЛ-0,4 кВ</t>
  </si>
  <si>
    <t>Реконструкция КЛ 0,4-10кВ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</si>
  <si>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 xml:space="preserve">Итого </t>
  </si>
  <si>
    <t>К-3-05,К3-08</t>
  </si>
  <si>
    <t>Б2-01</t>
  </si>
  <si>
    <t>Н1-01</t>
  </si>
  <si>
    <t xml:space="preserve">КЛ-0,4кВ </t>
  </si>
  <si>
    <t xml:space="preserve">   Строительство  ВЛКЛ-10кВ Л-14 от ПС "Валдай" на участке  от  ПС "Валдай" доТП-52 (взамен изношеной КЛ-10кВ L-2км)</t>
  </si>
  <si>
    <t>КЛ 6-10кВ</t>
  </si>
  <si>
    <t>ВЛ-10</t>
  </si>
  <si>
    <t>КЛ-10</t>
  </si>
  <si>
    <t xml:space="preserve">КЛ-10кВ </t>
  </si>
  <si>
    <t>Итого</t>
  </si>
  <si>
    <t>К1-06</t>
  </si>
  <si>
    <t>Б2-02</t>
  </si>
  <si>
    <t>Строительство КЛ-10 кВ от ТП-32 до ТП-39.</t>
  </si>
  <si>
    <t>Строительство КЛ-10 кВ от ТП-36 до ТП-39.</t>
  </si>
  <si>
    <t>Строительство КЛ-10 кВ от ТП-36 до ТП-71.</t>
  </si>
  <si>
    <t>Строительство новой КЛ-10кВ  от ТП-34 до опоры ВЛ-10кВ в сторону ТП-86 взамен существующей. (совместно с работой по реконструкции ВЛ-10кВ ТП-34 - ТП-86)</t>
  </si>
  <si>
    <t>К1-04</t>
  </si>
  <si>
    <t xml:space="preserve">Строительство КЛ-10кВ от концевой опоры отпаечной ВЛ-10кВ со стороны ВЛ-10кВ РП-7 - РП-10 до РУ-10кВ ТП-36 (яч. 7). </t>
  </si>
  <si>
    <t>Строительство КЛ-10кВ от ТП-141 до опоры ВЛ-10кВ в сторону ТП-116, ТП-87, г. Боровичи</t>
  </si>
  <si>
    <t>К1-05</t>
  </si>
  <si>
    <t>Строительство КЛ-10кВ от КРУН I с.ш. ПС "Пестово" до первой опоры ВЛ-10кВ Л-5, для перевода Л-5 со II с.ш. на I с.ш., г. Пестово</t>
  </si>
  <si>
    <t>Строительство КЛ-6кВ тп133-тп162</t>
  </si>
  <si>
    <t>Н1-02</t>
  </si>
  <si>
    <t>СтроительствоКЛ-6кВ тп133 - тп235</t>
  </si>
  <si>
    <t>К1-08</t>
  </si>
  <si>
    <t>Строительство КЛ-6кВ тп133 - тп622</t>
  </si>
  <si>
    <t>Строительство КЛ-6 кВ  ТП 264 -ТП 359</t>
  </si>
  <si>
    <t>строительство КЛ-10кВ - кабельный выход из ПС "Батецкая" на существующую ВЛ-10кВ ф.06</t>
  </si>
  <si>
    <t>строительство кабельного выхода из проектируемой ТП-2 бат на ВЛ-10кВ ф.03 в сторону ТП-5 бат</t>
  </si>
  <si>
    <t>Строительство  КЛ-6кВ рп24-тп359</t>
  </si>
  <si>
    <t>Строительство  КЛ-6кВ тп55-тп246</t>
  </si>
  <si>
    <t>Строительство  КЛ-6 кВ тп249-тп374</t>
  </si>
  <si>
    <t>Строительство  КЛ-6 кВ тп269-тп290</t>
  </si>
  <si>
    <t>Строительство  КЛ-6 кВ тп264-тп401</t>
  </si>
  <si>
    <t xml:space="preserve">Строительство новых КЛ-0,4кВ от ТП-72 взамен существующих, по истечению срока службы. </t>
  </si>
  <si>
    <t>Великий Новгород ул.Людогоща,4,средняя школа №2  (от ТП-72 до ВРУ)</t>
  </si>
  <si>
    <t>К3-08</t>
  </si>
  <si>
    <t xml:space="preserve">Строительство КЛ-0,4/10кВ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</si>
  <si>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>0,4-10</t>
  </si>
  <si>
    <t>АПВБбШв 4х70
АПВБбШв 4х150
марка
4 жилы, алюминий</t>
  </si>
  <si>
    <t xml:space="preserve">
АПВБбШв 4х150
марка
4 жилы, алюминий</t>
  </si>
  <si>
    <t>АСБ 3х150
марка
3 жилы, алюминий</t>
  </si>
  <si>
    <t>АСБ 3х95
марка
3 жилы, алюминий</t>
  </si>
  <si>
    <t>АСБ 3х120
марка
3 жилы, алюминий</t>
  </si>
  <si>
    <t>АСБ 3х240
марка
3 жилы, алюминий</t>
  </si>
  <si>
    <t>АПВБбШв 4х70
марка
4 жилы, алюминий
АСБ 3х150
3 жилы алюминий</t>
  </si>
  <si>
    <t>Б2-01, Б2-02</t>
  </si>
  <si>
    <t>Строительство КЛ-0,4/10кВ в целях присоед-я заявителей с запрашиваемой мощностью от 15 до 150 кВт</t>
  </si>
  <si>
    <t>2020 год</t>
  </si>
  <si>
    <t>Реконструкция КЛ-10 кВ от ТП-68 до оп. №23 (увеличение длинны КЛ до оп. №26)</t>
  </si>
  <si>
    <t>Строительство КЛ-10 кВ от ТП-68 до ТП-4а</t>
  </si>
  <si>
    <t>Строительство кабельного ввода от оп.82 ВЛ-10кВ Л.8 до РУ-10кВ ТП-35</t>
  </si>
  <si>
    <t>Строительство кабельного выхода от РУ-10кВ ТП-35 до оп.83 ВЛ-10кВ Л.8</t>
  </si>
  <si>
    <t>Строительство КЛ-10 кВ от оп.27 ВЛ-10кВ Л.8 до проектируемой ТП-67 (ГНБ АСБ3х150)</t>
  </si>
  <si>
    <t>Строительство КЛ-10кВ от проектируемой ТП-67 до ТП-10 (ГНБ АСБ3х150)</t>
  </si>
  <si>
    <t>Строительство КЛ-10 кВ от ТП-10 до оп.48 ВЛ-10кВ Л.8 (ГНБ АСБ 3х150)</t>
  </si>
  <si>
    <t>Строительство КЛ-10кВ от опоры ВЛЗ-10кВ по ул. Кр.Зорь-Совесткая до ТП-2 методом ГНБ, вместо существующей ВЛ-10кВ отпайки на ТП-2, г. Пестово, в. т.ч.:</t>
  </si>
  <si>
    <t>Строительство новой КЛ-0,4кВ от ТП-73 до ВРУ жилого дома по ул. Пушкинская, 43 взамен существующей.</t>
  </si>
  <si>
    <t xml:space="preserve">
АПВБбШв 4х95
марка
4 жилы, алюминий</t>
  </si>
  <si>
    <t>К3-06</t>
  </si>
  <si>
    <t>Строительство  КЛ-6 кВ рп27-тп290</t>
  </si>
  <si>
    <t>Строительство  КЛ-6 кВ тп111-тп249</t>
  </si>
  <si>
    <t>Строительство  КЛ-6 кВ тп111-тп355</t>
  </si>
  <si>
    <t>Строительство  КЛ-6 кВ тп269-тп359</t>
  </si>
  <si>
    <t>Строительство  КЛ-6кВ ф.40,43 от ПС "Базовая" до соединительной муфты ул.Нехинская на рп14</t>
  </si>
  <si>
    <t>Строительство  КЛ-6кВ ф.09,35 от ПС "Базовая" до рп39</t>
  </si>
  <si>
    <t>Строительство  КЛ-6кВ ф.38 от ПС "Базовая" до тп222</t>
  </si>
  <si>
    <t xml:space="preserve">Строительство новых КЛ-0,4кВ от ТП-43 взамен существующих, по истечению срока службы. </t>
  </si>
  <si>
    <t>К.Маркса 5 (ТП-43 - ВРУ)</t>
  </si>
  <si>
    <t>Строительство новых КЛ-0,4кВ от ТП-303 взамен существующих, по истечению срока службы.  Менделеева</t>
  </si>
  <si>
    <t xml:space="preserve">Реконструкция КЛ-10кВ Л-13  от ПС Валдай до  РП-10 </t>
  </si>
  <si>
    <t xml:space="preserve">Реконструкция КЛ-10кВ Л-15 от ПС Валдай до  РП-10  </t>
  </si>
  <si>
    <t>Строительство КЛ-0,4 кВ от ТП-29 ул. Вокзальная д. 1.</t>
  </si>
  <si>
    <t>Строительство  КЛ-10кВ ф.05 , ф.07 от ПС "Базовая" до РП-25</t>
  </si>
  <si>
    <t>Строительство КЛ-6кВ ф.24 на РП-11от ПС "Районная"</t>
  </si>
  <si>
    <t>Строительство КЛ 6 кВ ф.29 на РП-11 от ПС "Районная"</t>
  </si>
  <si>
    <t>Строительство  КЛ-6 кВ тп12 - тп96 (взамен существующей)</t>
  </si>
  <si>
    <t>Строительство КЛ-0,4кВ от ТП-8 до КР жилого дома К.Маркса 6 (взамен существующей КЛ-0,4кВ по истечению срока службы)</t>
  </si>
  <si>
    <t xml:space="preserve">
АПВБбШв 4х70
марка
4 жилы, алюминий</t>
  </si>
  <si>
    <t>К3-05</t>
  </si>
  <si>
    <t>Строительство КЛ-0,4кВ от ТП-8 до КР жилого дома Германа 5 (взамен существующей КЛ-0,4кВ)</t>
  </si>
  <si>
    <t>Строительство КЛ-0,4кВ от КР жилого дома Германа 5 до КР жилого дома К.Маркса 6 (взамен существующей КЛ-0,4кВ)</t>
  </si>
  <si>
    <t>Строительство КЛ-0,4кВ от КР жилого дома Германа 5  до КР жилого дома Германа 7 (взамен существующей КЛ-0,4кВ)</t>
  </si>
  <si>
    <t>Строительство КЛ-0,4кВ от КР жилого дома Германа 7  до КР жилого дома Германа 9 (взамен существующей КЛ-0,4кВ)</t>
  </si>
  <si>
    <t>Строительство КЛ-0,4кВ от КР жилого дома Германа 9  до КР жилого дома Германа 3 (взамен существующей КЛ-0,4кВ)</t>
  </si>
  <si>
    <t>Реконструкция КЛ 10 кВ ТП 39 - РП 2 г. Ст. Руссы</t>
  </si>
  <si>
    <t>Строительство  КЛ-10кВ л.06,09 от ПС "Базовая" до рп29</t>
  </si>
  <si>
    <t>Строительство КЛ-6кВ ф.23 на рп47 от ПС "Районная"</t>
  </si>
  <si>
    <t>АПвПу 1х240/50
марка
3 жилы, алюминий</t>
  </si>
  <si>
    <t>Строительство КЛ 6 кВ ф.28 на рп47 от ПС "Районная"</t>
  </si>
  <si>
    <t>Строительство ф.57 от ПС "Районная" до рп15</t>
  </si>
  <si>
    <t xml:space="preserve">Строительство новых КЛ-0,4кВ от ТП-65 взамен существующих, по истечению срока службы. </t>
  </si>
  <si>
    <t>Б.Московская,12 от ТП-65 до КР (инв.31049)</t>
  </si>
  <si>
    <t>Б.Московская,14 от КР Б.Московской,12 (инв.31305)</t>
  </si>
  <si>
    <t>КЛ-0,4 от ЯРВ д №14 до ЯРВ дома №16 по Б.Московской (инв.31399)</t>
  </si>
  <si>
    <t>КЛ-0,4кВ между ул.Б.Московская 16 (КР)  - ул.Б.Московская,18 (ВРУ2)</t>
  </si>
  <si>
    <t>КЛ-0,4кВ между ул.Б.Московская 16 (КР)  - ул.Б.Московская,18 (ВРУ1)</t>
  </si>
  <si>
    <t>Котельная №31 (ТП-65 - ВРУ) 
2 шт КЛ 0,4 (инв.33405)</t>
  </si>
  <si>
    <t>Строительство КЛ-0,4кВ ТП-15 - д/с "Солнышко" взамен существующей, г. Пестово</t>
  </si>
  <si>
    <t>Строительство КЛ-6 кВ 135-ф.22 (от ПС Антоново до ТП-287)</t>
  </si>
  <si>
    <t>Строительство КЛ-6 кВ 135- ф.02Б (от ПС Антоново на РП-2)</t>
  </si>
  <si>
    <t>Строительство 6кВ  РП2 - тп144</t>
  </si>
  <si>
    <t xml:space="preserve">2024 год </t>
  </si>
  <si>
    <t xml:space="preserve">Строительство новых КЛ-0,4кВ от ТП-7 взамен существующих, по истечению срока службы. </t>
  </si>
  <si>
    <t>Строительство КЛ 0,4кВ от ТП-7  до Школа №7  (ТП-7 - ВРУ) (инв.30903)</t>
  </si>
  <si>
    <t>Строительство КЛ 0,4кВ ( ТП-7) между Столовая (ВРУ) - Школа (ВРУ) (инв.30904, 30905)</t>
  </si>
  <si>
    <t>Строительство КЛ 0,4кВ от ТП-7 до  Котельная №35 (инв.30902)</t>
  </si>
  <si>
    <t xml:space="preserve">Строительство новых КЛ-0,4кВ от ТП-123 взамен существующих, по истечению срока службы. </t>
  </si>
  <si>
    <t>Космонавтов 12 (КР1 - КР2)
Космонавтов 10 (КР) - 12 (КР2)</t>
  </si>
  <si>
    <t xml:space="preserve">Строительство новых КЛ-0,4кВ от ТП-279 взамен существующих, по истечению срока службы. </t>
  </si>
  <si>
    <t>Химиков 9 (ТП - КР)
Химиков  9 (КР) -  7 (КР)
Химиков 7  (КР) -  5 (КР)
Химиков 5 (ТП - ВРУ)</t>
  </si>
  <si>
    <t xml:space="preserve">Строительство новых КЛ-0,4кВ от ТП-28 взамен существующих, по истечению срока службы. </t>
  </si>
  <si>
    <t>Музыкал. училище (бывш.котельная) (ТП-28-ВРУ)
Музык. училище (ВРУ)- Кондиц.камера (ВРУ)</t>
  </si>
  <si>
    <t xml:space="preserve">Строительство новых КЛ-0,4кВ от ТП-81 взамен существующих, по истечению срока службы. </t>
  </si>
  <si>
    <t>Детсад №25 (ВРУ) - Мерецкова2/5 (ВРУ)</t>
  </si>
  <si>
    <t xml:space="preserve">Строительство новых КЛ-0,4кВ от ТП-181 взамен существующих, по истечению срока службы. </t>
  </si>
  <si>
    <t>Наб.р.Гзень 1 (ВРУ) - Детсада №44 (КР3)
Детсад №44 (ТП-181 - КР3)
Детсад №44 (ТП-181 - КР3)
КР Б.С.-Петербургская 28 к.2    (ТП - КР)
КР Б.С.-Петербургская 28 к.2(КР) -    28 к.4 (КР)
Наб.р.Гзень 3 (ТП-181 - КР)
Б.С.-Петербургская 24 (ТП-181- КР)</t>
  </si>
  <si>
    <t xml:space="preserve">Строительство новых КЛ-0,4кВ от ТП-212 взамен существующих, по истечению срока службы. </t>
  </si>
  <si>
    <t>ул.Рогатица 31 (ТП - КР)</t>
  </si>
  <si>
    <t>ул.Рогатица 33 (КР - ВРУ)</t>
  </si>
  <si>
    <t>ул.Рогатица 33 (КР) -  35 (КР)</t>
  </si>
  <si>
    <t>ул.Панкратова 30 (КР) - Рогатица 35 (КР)</t>
  </si>
  <si>
    <t>Гостиница "Садко" прачечная  (от ТП до соединит.муфты)</t>
  </si>
  <si>
    <t xml:space="preserve">Строительство новых КЛ-0,4кВ от ТП-224 взамен существующих, по истечению срока службы. </t>
  </si>
  <si>
    <t>А. Невского,26  (ТП - КР1)</t>
  </si>
  <si>
    <t>А. Невского,26  (КР1 - КР2)</t>
  </si>
  <si>
    <t>Оловянка 7 (КР2) - Щитная  4/9 (КР)</t>
  </si>
  <si>
    <t>Оловянка 7  (КР1 - КР2)</t>
  </si>
  <si>
    <t xml:space="preserve">Строительство новых КЛ-0,4кВ от ТП-254 взамен существующих, по истечению срока службы. </t>
  </si>
  <si>
    <t>Белова 4 (ТП - ВРУ)</t>
  </si>
  <si>
    <t>Локомотивная 1/1 (ТП - КР)</t>
  </si>
  <si>
    <t xml:space="preserve">Строительство новых КЛ-0,4кВ от ТП-94 взамен существующих, по истечению срока службы. </t>
  </si>
  <si>
    <t>А.Невского,21 (ТП - ВРУ)</t>
  </si>
  <si>
    <t xml:space="preserve">Строительство новых КЛ-0,4кВ от ТП-138 взамен существующих, по истечению срока службы. </t>
  </si>
  <si>
    <t>Школа №8</t>
  </si>
  <si>
    <t xml:space="preserve">Строительство новых КЛ-0,4кВ от ТП-225 взамен существующих, по истечению срока службы. </t>
  </si>
  <si>
    <t>Великолукская 15 (ВРУ) - Белова 14 (КР)</t>
  </si>
  <si>
    <t>Октябрьская 18(ВРУ1)- Великолукская 15(ВРУ)</t>
  </si>
  <si>
    <t xml:space="preserve">Строительство новых КЛ-0,4кВ от ТП-22 взамен существующих, по истечению срока службы. </t>
  </si>
  <si>
    <t>ул.Стратилатовская 10 (ТП-22 - КР)</t>
  </si>
  <si>
    <t>ул.Новолучанская 16 (ТП-22 - ВРУ)</t>
  </si>
  <si>
    <t>ул.Новолучанская 14 (КР) - ул.Стратилатовская,12 (КР)</t>
  </si>
  <si>
    <t>ул.Стратилатовская 12 ( ТП-22 - КР№22/2)</t>
  </si>
  <si>
    <t xml:space="preserve">Реконструкция ТП-5 </t>
  </si>
  <si>
    <t>тип киосковый,1х250</t>
  </si>
  <si>
    <t>шт</t>
  </si>
  <si>
    <t>Э1-06
Л9-01</t>
  </si>
  <si>
    <t>Строительство КТП- 113 ул.Федора Кузьмина г. Старая Русса</t>
  </si>
  <si>
    <t>Строительство КТП 10/0,4 кВ взамен ТП30 г. Ст. Русса</t>
  </si>
  <si>
    <t>Строительство КТП 10/0,4 кВ  ТП11 г. Ст. Русса</t>
  </si>
  <si>
    <t>Строительство КТП 10/0,4 кВ  ТП4 п. Уторгош</t>
  </si>
  <si>
    <t>Строительство КТП 10/0,4 кВ  ТП30 г. Ст. Русса</t>
  </si>
  <si>
    <t>Строительство КТП 10/0,4 кВ  КТП1 с.Белебелка</t>
  </si>
  <si>
    <t xml:space="preserve">Строительство КТП 10/0,4 кВ  ТП2 п. Пола </t>
  </si>
  <si>
    <t>тип киосковый, 2х400</t>
  </si>
  <si>
    <t>Э1-07
Л9-01</t>
  </si>
  <si>
    <t>Строительство новой 2КТП-400  тп133</t>
  </si>
  <si>
    <t>Строительство новой 2КТП-400 утепленной с коридором обслуживания взамен существующей ТП-2 бат</t>
  </si>
  <si>
    <t>Строительство новой 2КТП-400 утепленной с коридором обслуживания взамен существующей ТП-3 бат</t>
  </si>
  <si>
    <t>Строительство тп296</t>
  </si>
  <si>
    <t>тип блочный, 2х630</t>
  </si>
  <si>
    <t>Э3-08</t>
  </si>
  <si>
    <t xml:space="preserve">Строительство трансформаторных подстанций 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</si>
  <si>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>Строительство трансформаторных подстанций 6/10-0,4кВ  в целях присоед-я заявителей с запрашиваемой мощностью от 15 до 150 кВт</t>
  </si>
  <si>
    <t>Реконструкция ТП-35 (замена ГКТП)</t>
  </si>
  <si>
    <t>тип киосковый, 1х400</t>
  </si>
  <si>
    <t>Строительство КТП-110  ул. Гоголя г. Старая Русса</t>
  </si>
  <si>
    <t>Строительство КТП- 111 ул. Чайковского, г. Старая Русса</t>
  </si>
  <si>
    <t>Строительство КТП- 112 ул. Шевченко г. Старая Русса</t>
  </si>
  <si>
    <t>Строительство ТП-67 (КТП-2х400)</t>
  </si>
  <si>
    <t>Строительство новой КТП большей мощности взамен существующей ТП-3, п. Хвойная</t>
  </si>
  <si>
    <t>Строительство ТП по ул. Кировская, с. Мошенское (совместно с работой по реконструкции ВЛ-0,4кВ от ТП-1).</t>
  </si>
  <si>
    <t>Реконструкция ТП-5 (замена ГКТП)</t>
  </si>
  <si>
    <t>Реконструкция ТП-28 (замена ГКТП)</t>
  </si>
  <si>
    <t>Реконструкция ТП-18 с заменой кирпичной ТП на КТП-400/10</t>
  </si>
  <si>
    <t xml:space="preserve">Строительство КТП 10/0,4 кВ  взамен ТП39 г. Ст. Русса </t>
  </si>
  <si>
    <t>Строительство КТПН- 10/0,4кВ №6 250кВАп. Крестцы</t>
  </si>
  <si>
    <t>Строительство новой КТП большей мощности взамен существующей ТП-14, г. Пестово</t>
  </si>
  <si>
    <t>Строительство КТП 10/0,4 кВ взамен КТП4 с.Белебелка</t>
  </si>
  <si>
    <t>Строительство КТП 10/0,4 кВ взамен ТП4 п. Шимск</t>
  </si>
  <si>
    <t xml:space="preserve">  Строительство   КТП-7 п. Демянск ( взамен изношеной)</t>
  </si>
  <si>
    <t>Строительство новой КТП большей мощности взамен существующей ТП-73, г. Пестово</t>
  </si>
  <si>
    <t>тип киосковый,1х250
тип киосковый,1х400
тип киосковый,1х630
тип киосковый,2х250
тип киосковый,2х400
тип киосковый,2х630
тип киосковый, 2х400
тип киосковый, 2х630
тип киосковый,2х250
тип блочный, 2х630</t>
  </si>
  <si>
    <t>Э1-06
Э1-07
Э1-08
Э3-08
Л9-01</t>
  </si>
  <si>
    <t>тип киосковый,2х400
тип блочный, 2х630</t>
  </si>
  <si>
    <t>Э1-07
Э3-08</t>
  </si>
  <si>
    <t>Реконструкция РП-1 Великий Новгород</t>
  </si>
  <si>
    <t>Строительство РП-3 Окуловка</t>
  </si>
  <si>
    <t>Строительство РП-1 Угловка</t>
  </si>
  <si>
    <t>Строительство РП-2 Чудово</t>
  </si>
  <si>
    <t xml:space="preserve">Распределительный пункт </t>
  </si>
  <si>
    <t>Реконструкция РУ-6кВ ТП-63 с заменой существующей камеры КСО яч.7 на КСО с вакуумным выключателем 10кВ.</t>
  </si>
  <si>
    <t>Реконструкция РУ-10кВ ТП-150, яч. на РП-9 (замена камеры КСО)</t>
  </si>
  <si>
    <t>Реконструкция РУ-10кВ ТП-75, яч. на ТП-21 (замена камеры КСО)</t>
  </si>
  <si>
    <t>Реконструкция РУ-10кВ ТП-115, яч. на ТП-117 (замена камеры КСО)</t>
  </si>
  <si>
    <t>Реконструкция РУ-10кВ РП-9, яч.8 (замена камеры КСО)</t>
  </si>
  <si>
    <t xml:space="preserve"> Реконструкция        РП-10 (замена ячеек КСО)</t>
  </si>
  <si>
    <t>Реконструкция РУ-10 кВ ТП-68.</t>
  </si>
  <si>
    <t>Реконструкция РУ-10кВ ТП-5 с заменой двух ячеек КСО (ввод Л-2 и ввод Л-3), г. Пестово.</t>
  </si>
  <si>
    <t>Реконструкция РУ-10кВ ТП-1 с заменой двух ячеек КСО (ввод Л-2, отходящая Л-2), г. Пестово</t>
  </si>
  <si>
    <t>Установка камеры КСО в ТП-34</t>
  </si>
  <si>
    <t>номинальный ток 1000А
номинальный ток отключения 31,5</t>
  </si>
  <si>
    <t>В8-01</t>
  </si>
  <si>
    <t>Э4-01</t>
  </si>
  <si>
    <t>Реконструкция КЛ-0,4/10кВ в целях присоед-я заявителей с запрашиваемой мощностью от 15 до 150 кВт</t>
  </si>
  <si>
    <t xml:space="preserve">Таблица 2. Реконструкция ПС (элементов ПС), строительство элементов ПС </t>
  </si>
  <si>
    <t xml:space="preserve">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</si>
  <si>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Генеральный директор</t>
  </si>
  <si>
    <t>АО "Новгородоблэлектро"</t>
  </si>
  <si>
    <t>__________________ А. А. Муравин</t>
  </si>
</sst>
</file>

<file path=xl/styles.xml><?xml version="1.0" encoding="utf-8"?>
<styleSheet xmlns="http://schemas.openxmlformats.org/spreadsheetml/2006/main">
  <numFmts count="10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_-* #,##0.000\ _₽_-;\-* #,##0.000\ _₽_-;_-* &quot;-&quot;???\ _₽_-;_-@_-"/>
    <numFmt numFmtId="170" formatCode="0.0"/>
    <numFmt numFmtId="171" formatCode="#,##0.00\ _₽"/>
    <numFmt numFmtId="172" formatCode="_-* #,##0\ _₽_-;\-* #,##0\ _₽_-;_-* &quot;-&quot;???\ _₽_-;_-@_-"/>
  </numFmts>
  <fonts count="5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57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  <xf numFmtId="43" fontId="46" fillId="0" borderId="0" applyFont="0" applyFill="0" applyBorder="0" applyAlignment="0" applyProtection="0"/>
    <xf numFmtId="0" fontId="48" fillId="0" borderId="0"/>
    <xf numFmtId="0" fontId="22" fillId="0" borderId="0"/>
  </cellStyleXfs>
  <cellXfs count="332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168" fontId="26" fillId="0" borderId="0" xfId="55" applyNumberFormat="1" applyFont="1" applyFill="1" applyBorder="1" applyAlignment="1">
      <alignment horizontal="center" vertical="center" wrapText="1"/>
    </xf>
    <xf numFmtId="168" fontId="26" fillId="0" borderId="10" xfId="55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47" fillId="24" borderId="11" xfId="0" applyFont="1" applyFill="1" applyBorder="1" applyAlignment="1">
      <alignment horizontal="left" vertical="center" wrapText="1"/>
    </xf>
    <xf numFmtId="0" fontId="47" fillId="0" borderId="10" xfId="56" applyFont="1" applyFill="1" applyBorder="1" applyAlignment="1">
      <alignment horizontal="center" vertical="center" wrapText="1"/>
    </xf>
    <xf numFmtId="49" fontId="47" fillId="24" borderId="11" xfId="0" applyNumberFormat="1" applyFont="1" applyFill="1" applyBorder="1" applyAlignment="1">
      <alignment vertical="center" wrapText="1"/>
    </xf>
    <xf numFmtId="0" fontId="26" fillId="24" borderId="10" xfId="0" applyFont="1" applyFill="1" applyBorder="1" applyAlignment="1">
      <alignment horizontal="left" vertical="center" wrapText="1"/>
    </xf>
    <xf numFmtId="49" fontId="26" fillId="0" borderId="10" xfId="0" applyNumberFormat="1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6" fillId="24" borderId="10" xfId="0" applyFont="1" applyFill="1" applyBorder="1" applyAlignment="1" applyProtection="1">
      <alignment wrapText="1" shrinkToFit="1"/>
    </xf>
    <xf numFmtId="0" fontId="26" fillId="0" borderId="10" xfId="52" applyFont="1" applyBorder="1" applyAlignment="1">
      <alignment horizontal="center" vertical="center" wrapText="1"/>
    </xf>
    <xf numFmtId="0" fontId="26" fillId="24" borderId="10" xfId="0" applyFont="1" applyFill="1" applyBorder="1" applyAlignment="1">
      <alignment horizontal="center" vertical="center"/>
    </xf>
    <xf numFmtId="0" fontId="26" fillId="0" borderId="10" xfId="52" applyFont="1" applyFill="1" applyBorder="1" applyAlignment="1">
      <alignment horizontal="center" vertical="center" wrapText="1"/>
    </xf>
    <xf numFmtId="0" fontId="26" fillId="24" borderId="10" xfId="0" applyFont="1" applyFill="1" applyBorder="1" applyAlignment="1">
      <alignment horizontal="left" vertical="center" wrapText="1" shrinkToFit="1"/>
    </xf>
    <xf numFmtId="0" fontId="23" fillId="24" borderId="12" xfId="0" applyFont="1" applyFill="1" applyBorder="1" applyAlignment="1">
      <alignment horizontal="left" vertical="center" wrapText="1"/>
    </xf>
    <xf numFmtId="0" fontId="23" fillId="24" borderId="10" xfId="0" applyFont="1" applyFill="1" applyBorder="1" applyAlignment="1">
      <alignment horizontal="center" vertical="center" wrapText="1"/>
    </xf>
    <xf numFmtId="0" fontId="26" fillId="24" borderId="10" xfId="0" applyFont="1" applyFill="1" applyBorder="1"/>
    <xf numFmtId="0" fontId="23" fillId="24" borderId="10" xfId="0" applyFont="1" applyFill="1" applyBorder="1" applyAlignment="1">
      <alignment wrapText="1"/>
    </xf>
    <xf numFmtId="0" fontId="26" fillId="24" borderId="11" xfId="0" applyFont="1" applyFill="1" applyBorder="1" applyAlignment="1">
      <alignment horizontal="left" vertical="center" wrapText="1"/>
    </xf>
    <xf numFmtId="2" fontId="26" fillId="24" borderId="10" xfId="0" applyNumberFormat="1" applyFont="1" applyFill="1" applyBorder="1"/>
    <xf numFmtId="49" fontId="26" fillId="24" borderId="10" xfId="0" applyNumberFormat="1" applyFont="1" applyFill="1" applyBorder="1" applyAlignment="1">
      <alignment vertical="center" wrapText="1"/>
    </xf>
    <xf numFmtId="3" fontId="26" fillId="0" borderId="10" xfId="0" applyNumberFormat="1" applyFont="1" applyFill="1" applyBorder="1" applyAlignment="1">
      <alignment horizontal="center" vertical="center"/>
    </xf>
    <xf numFmtId="0" fontId="26" fillId="24" borderId="10" xfId="0" applyFont="1" applyFill="1" applyBorder="1" applyAlignment="1">
      <alignment wrapText="1"/>
    </xf>
    <xf numFmtId="4" fontId="26" fillId="0" borderId="10" xfId="0" applyNumberFormat="1" applyFont="1" applyFill="1" applyBorder="1" applyAlignment="1">
      <alignment horizontal="center" vertical="center"/>
    </xf>
    <xf numFmtId="49" fontId="50" fillId="24" borderId="10" xfId="0" applyNumberFormat="1" applyFont="1" applyFill="1" applyBorder="1" applyAlignment="1">
      <alignment vertical="center" wrapText="1"/>
    </xf>
    <xf numFmtId="164" fontId="26" fillId="0" borderId="10" xfId="0" applyNumberFormat="1" applyFont="1" applyFill="1" applyBorder="1" applyAlignment="1">
      <alignment horizontal="center" vertical="center" wrapText="1"/>
    </xf>
    <xf numFmtId="0" fontId="26" fillId="24" borderId="10" xfId="0" applyFont="1" applyFill="1" applyBorder="1" applyAlignment="1">
      <alignment horizontal="center" vertical="center" shrinkToFit="1"/>
    </xf>
    <xf numFmtId="2" fontId="23" fillId="24" borderId="10" xfId="0" applyNumberFormat="1" applyFont="1" applyFill="1" applyBorder="1" applyAlignment="1">
      <alignment horizontal="center"/>
    </xf>
    <xf numFmtId="0" fontId="51" fillId="24" borderId="19" xfId="0" applyFont="1" applyFill="1" applyBorder="1" applyAlignment="1">
      <alignment horizontal="left" vertical="center" wrapText="1"/>
    </xf>
    <xf numFmtId="170" fontId="51" fillId="24" borderId="10" xfId="0" applyNumberFormat="1" applyFont="1" applyFill="1" applyBorder="1" applyAlignment="1">
      <alignment horizontal="center" vertical="center" wrapText="1"/>
    </xf>
    <xf numFmtId="170" fontId="51" fillId="24" borderId="20" xfId="0" applyNumberFormat="1" applyFont="1" applyFill="1" applyBorder="1" applyAlignment="1">
      <alignment horizontal="center" vertical="center" wrapText="1"/>
    </xf>
    <xf numFmtId="0" fontId="23" fillId="24" borderId="10" xfId="0" applyFont="1" applyFill="1" applyBorder="1" applyAlignment="1">
      <alignment horizontal="center" wrapText="1"/>
    </xf>
    <xf numFmtId="0" fontId="51" fillId="24" borderId="10" xfId="0" applyFont="1" applyFill="1" applyBorder="1" applyAlignment="1">
      <alignment horizontal="center" vertical="center" wrapText="1"/>
    </xf>
    <xf numFmtId="0" fontId="51" fillId="24" borderId="21" xfId="0" applyFont="1" applyFill="1" applyBorder="1" applyAlignment="1">
      <alignment horizontal="left" vertical="center" wrapText="1"/>
    </xf>
    <xf numFmtId="0" fontId="51" fillId="24" borderId="22" xfId="0" applyFont="1" applyFill="1" applyBorder="1" applyAlignment="1">
      <alignment horizontal="center" vertical="center" wrapText="1"/>
    </xf>
    <xf numFmtId="170" fontId="51" fillId="24" borderId="22" xfId="0" applyNumberFormat="1" applyFont="1" applyFill="1" applyBorder="1" applyAlignment="1">
      <alignment horizontal="center" vertical="center" wrapText="1"/>
    </xf>
    <xf numFmtId="0" fontId="50" fillId="24" borderId="10" xfId="0" applyFont="1" applyFill="1" applyBorder="1" applyAlignment="1">
      <alignment horizontal="left" vertical="center" wrapText="1"/>
    </xf>
    <xf numFmtId="0" fontId="26" fillId="24" borderId="10" xfId="0" applyFont="1" applyFill="1" applyBorder="1" applyAlignment="1">
      <alignment horizontal="center" shrinkToFit="1"/>
    </xf>
    <xf numFmtId="170" fontId="51" fillId="24" borderId="14" xfId="0" applyNumberFormat="1" applyFont="1" applyFill="1" applyBorder="1" applyAlignment="1">
      <alignment horizontal="center" vertical="center"/>
    </xf>
    <xf numFmtId="0" fontId="23" fillId="24" borderId="10" xfId="0" applyFont="1" applyFill="1" applyBorder="1" applyAlignment="1">
      <alignment horizontal="center" vertical="center"/>
    </xf>
    <xf numFmtId="2" fontId="26" fillId="0" borderId="10" xfId="0" applyNumberFormat="1" applyFont="1" applyFill="1" applyBorder="1" applyAlignment="1">
      <alignment horizontal="center" vertical="center" wrapText="1"/>
    </xf>
    <xf numFmtId="0" fontId="26" fillId="24" borderId="10" xfId="56" applyFont="1" applyFill="1" applyBorder="1" applyAlignment="1">
      <alignment wrapText="1"/>
    </xf>
    <xf numFmtId="0" fontId="26" fillId="24" borderId="10" xfId="56" applyFont="1" applyFill="1" applyBorder="1" applyAlignment="1">
      <alignment horizontal="center" wrapText="1"/>
    </xf>
    <xf numFmtId="169" fontId="26" fillId="24" borderId="10" xfId="56" applyNumberFormat="1" applyFont="1" applyFill="1" applyBorder="1" applyAlignment="1">
      <alignment vertical="center" wrapText="1"/>
    </xf>
    <xf numFmtId="0" fontId="50" fillId="24" borderId="11" xfId="0" applyFont="1" applyFill="1" applyBorder="1" applyAlignment="1">
      <alignment horizontal="left" vertical="center" wrapText="1"/>
    </xf>
    <xf numFmtId="0" fontId="51" fillId="24" borderId="19" xfId="0" applyFont="1" applyFill="1" applyBorder="1" applyAlignment="1">
      <alignment vertical="center" wrapText="1"/>
    </xf>
    <xf numFmtId="0" fontId="26" fillId="24" borderId="12" xfId="56" applyFont="1" applyFill="1" applyBorder="1" applyAlignment="1">
      <alignment wrapText="1"/>
    </xf>
    <xf numFmtId="0" fontId="26" fillId="0" borderId="10" xfId="56" applyFont="1" applyFill="1" applyBorder="1" applyAlignment="1">
      <alignment horizontal="center" vertical="center" wrapText="1"/>
    </xf>
    <xf numFmtId="171" fontId="26" fillId="0" borderId="10" xfId="0" applyNumberFormat="1" applyFont="1" applyFill="1" applyBorder="1" applyAlignment="1">
      <alignment horizontal="center" vertical="center"/>
    </xf>
    <xf numFmtId="49" fontId="50" fillId="24" borderId="11" xfId="0" applyNumberFormat="1" applyFont="1" applyFill="1" applyBorder="1" applyAlignment="1">
      <alignment vertical="center" wrapText="1"/>
    </xf>
    <xf numFmtId="0" fontId="26" fillId="24" borderId="14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 wrapText="1"/>
    </xf>
    <xf numFmtId="0" fontId="26" fillId="0" borderId="14" xfId="52" applyFont="1" applyBorder="1" applyAlignment="1">
      <alignment horizontal="center" vertical="center" wrapText="1"/>
    </xf>
    <xf numFmtId="2" fontId="26" fillId="0" borderId="14" xfId="0" applyNumberFormat="1" applyFont="1" applyFill="1" applyBorder="1" applyAlignment="1">
      <alignment horizontal="center" vertical="center" wrapText="1"/>
    </xf>
    <xf numFmtId="0" fontId="26" fillId="0" borderId="14" xfId="52" applyFont="1" applyFill="1" applyBorder="1" applyAlignment="1">
      <alignment horizontal="center" vertical="center" wrapText="1"/>
    </xf>
    <xf numFmtId="168" fontId="26" fillId="0" borderId="14" xfId="55" applyNumberFormat="1" applyFont="1" applyFill="1" applyBorder="1" applyAlignment="1">
      <alignment horizontal="center" vertical="center" wrapText="1"/>
    </xf>
    <xf numFmtId="0" fontId="4" fillId="0" borderId="10" xfId="52" applyFont="1" applyBorder="1" applyAlignment="1">
      <alignment horizontal="left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49" fontId="3" fillId="24" borderId="10" xfId="0" applyNumberFormat="1" applyFont="1" applyFill="1" applyBorder="1" applyAlignment="1">
      <alignment horizontal="center" vertical="center"/>
    </xf>
    <xf numFmtId="0" fontId="4" fillId="24" borderId="10" xfId="0" applyFont="1" applyFill="1" applyBorder="1" applyAlignment="1">
      <alignment horizontal="center" vertical="center" wrapText="1"/>
    </xf>
    <xf numFmtId="0" fontId="4" fillId="24" borderId="10" xfId="52" applyFont="1" applyFill="1" applyBorder="1" applyAlignment="1">
      <alignment horizontal="center" vertical="center" wrapText="1"/>
    </xf>
    <xf numFmtId="0" fontId="4" fillId="24" borderId="10" xfId="52" applyFont="1" applyFill="1" applyBorder="1" applyAlignment="1">
      <alignment horizontal="center" vertical="center"/>
    </xf>
    <xf numFmtId="164" fontId="4" fillId="24" borderId="10" xfId="0" applyNumberFormat="1" applyFont="1" applyFill="1" applyBorder="1" applyAlignment="1">
      <alignment horizontal="center" vertical="center" wrapText="1"/>
    </xf>
    <xf numFmtId="2" fontId="4" fillId="24" borderId="10" xfId="0" applyNumberFormat="1" applyFont="1" applyFill="1" applyBorder="1" applyAlignment="1">
      <alignment horizontal="center" vertical="center" wrapText="1"/>
    </xf>
    <xf numFmtId="0" fontId="3" fillId="24" borderId="10" xfId="0" applyFont="1" applyFill="1" applyBorder="1" applyAlignment="1">
      <alignment horizontal="center" vertical="center" wrapText="1"/>
    </xf>
    <xf numFmtId="0" fontId="3" fillId="24" borderId="10" xfId="52" applyFont="1" applyFill="1" applyBorder="1" applyAlignment="1">
      <alignment horizontal="center" vertical="center" wrapText="1"/>
    </xf>
    <xf numFmtId="0" fontId="3" fillId="24" borderId="10" xfId="52" applyFont="1" applyFill="1" applyBorder="1" applyAlignment="1">
      <alignment horizontal="center" vertical="center"/>
    </xf>
    <xf numFmtId="164" fontId="3" fillId="24" borderId="10" xfId="0" applyNumberFormat="1" applyFont="1" applyFill="1" applyBorder="1" applyAlignment="1">
      <alignment horizontal="center" vertical="center" wrapText="1"/>
    </xf>
    <xf numFmtId="3" fontId="3" fillId="24" borderId="10" xfId="0" applyNumberFormat="1" applyFont="1" applyFill="1" applyBorder="1" applyAlignment="1">
      <alignment horizontal="center" vertical="center"/>
    </xf>
    <xf numFmtId="0" fontId="3" fillId="24" borderId="0" xfId="0" applyFont="1" applyFill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47" fillId="24" borderId="25" xfId="56" applyFont="1" applyFill="1" applyBorder="1" applyAlignment="1">
      <alignment horizontal="left" vertical="center" wrapText="1"/>
    </xf>
    <xf numFmtId="169" fontId="49" fillId="0" borderId="10" xfId="56" applyNumberFormat="1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vertical="center" wrapText="1"/>
    </xf>
    <xf numFmtId="0" fontId="26" fillId="0" borderId="10" xfId="52" applyFont="1" applyBorder="1" applyAlignment="1">
      <alignment vertical="center" wrapText="1"/>
    </xf>
    <xf numFmtId="0" fontId="26" fillId="0" borderId="10" xfId="52" applyFont="1" applyBorder="1" applyAlignment="1">
      <alignment horizontal="left" vertical="center" wrapText="1"/>
    </xf>
    <xf numFmtId="0" fontId="26" fillId="0" borderId="10" xfId="52" applyFont="1" applyFill="1" applyBorder="1" applyAlignment="1">
      <alignment horizontal="center" vertical="center"/>
    </xf>
    <xf numFmtId="0" fontId="50" fillId="0" borderId="10" xfId="0" applyFont="1" applyFill="1" applyBorder="1" applyAlignment="1">
      <alignment vertical="center" wrapText="1"/>
    </xf>
    <xf numFmtId="0" fontId="50" fillId="0" borderId="10" xfId="0" applyFont="1" applyFill="1" applyBorder="1" applyAlignment="1">
      <alignment horizontal="center" vertical="center" wrapText="1"/>
    </xf>
    <xf numFmtId="0" fontId="50" fillId="0" borderId="10" xfId="52" applyFont="1" applyBorder="1" applyAlignment="1">
      <alignment horizontal="center" vertical="center" wrapText="1"/>
    </xf>
    <xf numFmtId="0" fontId="50" fillId="0" borderId="10" xfId="52" applyFont="1" applyFill="1" applyBorder="1" applyAlignment="1">
      <alignment horizontal="center" vertical="center"/>
    </xf>
    <xf numFmtId="164" fontId="50" fillId="0" borderId="10" xfId="0" applyNumberFormat="1" applyFont="1" applyFill="1" applyBorder="1" applyAlignment="1">
      <alignment horizontal="center" vertical="center" wrapText="1"/>
    </xf>
    <xf numFmtId="2" fontId="50" fillId="0" borderId="10" xfId="0" applyNumberFormat="1" applyFont="1" applyFill="1" applyBorder="1" applyAlignment="1">
      <alignment horizontal="center" vertical="center" wrapText="1"/>
    </xf>
    <xf numFmtId="3" fontId="50" fillId="0" borderId="10" xfId="0" applyNumberFormat="1" applyFont="1" applyFill="1" applyBorder="1" applyAlignment="1">
      <alignment horizontal="center" vertical="center"/>
    </xf>
    <xf numFmtId="49" fontId="50" fillId="24" borderId="10" xfId="0" applyNumberFormat="1" applyFont="1" applyFill="1" applyBorder="1" applyAlignment="1">
      <alignment wrapText="1"/>
    </xf>
    <xf numFmtId="49" fontId="26" fillId="24" borderId="10" xfId="0" applyNumberFormat="1" applyFont="1" applyFill="1" applyBorder="1" applyAlignment="1">
      <alignment wrapText="1"/>
    </xf>
    <xf numFmtId="169" fontId="50" fillId="24" borderId="10" xfId="0" applyNumberFormat="1" applyFont="1" applyFill="1" applyBorder="1" applyAlignment="1">
      <alignment wrapText="1"/>
    </xf>
    <xf numFmtId="2" fontId="50" fillId="24" borderId="10" xfId="0" applyNumberFormat="1" applyFont="1" applyFill="1" applyBorder="1"/>
    <xf numFmtId="3" fontId="26" fillId="0" borderId="20" xfId="0" applyNumberFormat="1" applyFont="1" applyFill="1" applyBorder="1" applyAlignment="1">
      <alignment horizontal="center" vertical="center"/>
    </xf>
    <xf numFmtId="0" fontId="50" fillId="24" borderId="10" xfId="0" applyFont="1" applyFill="1" applyBorder="1" applyAlignment="1">
      <alignment horizontal="center" vertical="center" wrapText="1"/>
    </xf>
    <xf numFmtId="0" fontId="50" fillId="24" borderId="10" xfId="52" applyFont="1" applyFill="1" applyBorder="1" applyAlignment="1">
      <alignment horizontal="center" vertical="center" wrapText="1"/>
    </xf>
    <xf numFmtId="0" fontId="50" fillId="24" borderId="10" xfId="52" applyFont="1" applyFill="1" applyBorder="1" applyAlignment="1">
      <alignment horizontal="center" vertical="center"/>
    </xf>
    <xf numFmtId="164" fontId="50" fillId="24" borderId="10" xfId="0" applyNumberFormat="1" applyFont="1" applyFill="1" applyBorder="1" applyAlignment="1">
      <alignment horizontal="center" vertical="center" wrapText="1"/>
    </xf>
    <xf numFmtId="2" fontId="50" fillId="24" borderId="10" xfId="0" applyNumberFormat="1" applyFont="1" applyFill="1" applyBorder="1" applyAlignment="1">
      <alignment horizontal="center" vertical="center" wrapText="1"/>
    </xf>
    <xf numFmtId="170" fontId="52" fillId="24" borderId="20" xfId="0" applyNumberFormat="1" applyFont="1" applyFill="1" applyBorder="1" applyAlignment="1">
      <alignment horizontal="center" vertical="center" wrapText="1"/>
    </xf>
    <xf numFmtId="0" fontId="26" fillId="24" borderId="10" xfId="0" applyFont="1" applyFill="1" applyBorder="1" applyAlignment="1">
      <alignment horizontal="center" vertical="center" wrapText="1"/>
    </xf>
    <xf numFmtId="0" fontId="26" fillId="24" borderId="10" xfId="52" applyFont="1" applyFill="1" applyBorder="1" applyAlignment="1">
      <alignment horizontal="center" vertical="center" wrapText="1"/>
    </xf>
    <xf numFmtId="0" fontId="26" fillId="24" borderId="10" xfId="52" applyFont="1" applyFill="1" applyBorder="1" applyAlignment="1">
      <alignment horizontal="center" vertical="center"/>
    </xf>
    <xf numFmtId="164" fontId="26" fillId="24" borderId="10" xfId="0" applyNumberFormat="1" applyFont="1" applyFill="1" applyBorder="1" applyAlignment="1">
      <alignment horizontal="center" vertical="center" wrapText="1"/>
    </xf>
    <xf numFmtId="2" fontId="26" fillId="24" borderId="10" xfId="0" applyNumberFormat="1" applyFont="1" applyFill="1" applyBorder="1" applyAlignment="1">
      <alignment horizontal="center" vertical="center" wrapText="1"/>
    </xf>
    <xf numFmtId="3" fontId="26" fillId="24" borderId="10" xfId="0" applyNumberFormat="1" applyFont="1" applyFill="1" applyBorder="1" applyAlignment="1">
      <alignment horizontal="center" vertical="center"/>
    </xf>
    <xf numFmtId="3" fontId="50" fillId="24" borderId="10" xfId="0" applyNumberFormat="1" applyFont="1" applyFill="1" applyBorder="1" applyAlignment="1">
      <alignment horizontal="center" vertical="center"/>
    </xf>
    <xf numFmtId="0" fontId="26" fillId="24" borderId="24" xfId="0" applyFont="1" applyFill="1" applyBorder="1" applyAlignment="1">
      <alignment horizontal="left" vertical="center" wrapText="1"/>
    </xf>
    <xf numFmtId="170" fontId="50" fillId="24" borderId="20" xfId="0" applyNumberFormat="1" applyFont="1" applyFill="1" applyBorder="1" applyAlignment="1">
      <alignment horizontal="center" vertical="center" wrapText="1"/>
    </xf>
    <xf numFmtId="171" fontId="50" fillId="0" borderId="10" xfId="0" applyNumberFormat="1" applyFont="1" applyFill="1" applyBorder="1" applyAlignment="1">
      <alignment horizontal="center" vertical="center"/>
    </xf>
    <xf numFmtId="49" fontId="26" fillId="24" borderId="10" xfId="0" applyNumberFormat="1" applyFont="1" applyFill="1" applyBorder="1" applyAlignment="1">
      <alignment horizontal="left" wrapText="1"/>
    </xf>
    <xf numFmtId="0" fontId="50" fillId="24" borderId="12" xfId="56" applyFont="1" applyFill="1" applyBorder="1" applyAlignment="1">
      <alignment wrapText="1"/>
    </xf>
    <xf numFmtId="169" fontId="50" fillId="24" borderId="10" xfId="56" applyNumberFormat="1" applyFont="1" applyFill="1" applyBorder="1" applyAlignment="1">
      <alignment horizontal="center" vertical="center"/>
    </xf>
    <xf numFmtId="0" fontId="26" fillId="24" borderId="12" xfId="56" applyFont="1" applyFill="1" applyBorder="1" applyAlignment="1">
      <alignment vertical="center" wrapText="1"/>
    </xf>
    <xf numFmtId="169" fontId="26" fillId="24" borderId="10" xfId="56" applyNumberFormat="1" applyFont="1" applyFill="1" applyBorder="1" applyAlignment="1">
      <alignment horizontal="center" vertical="center"/>
    </xf>
    <xf numFmtId="0" fontId="50" fillId="24" borderId="10" xfId="0" applyFont="1" applyFill="1" applyBorder="1" applyAlignment="1">
      <alignment wrapText="1"/>
    </xf>
    <xf numFmtId="0" fontId="26" fillId="24" borderId="10" xfId="56" applyFont="1" applyFill="1" applyBorder="1" applyAlignment="1">
      <alignment horizontal="left" vertical="center" wrapText="1" indent="3"/>
    </xf>
    <xf numFmtId="169" fontId="50" fillId="0" borderId="10" xfId="56" applyNumberFormat="1" applyFont="1" applyFill="1" applyBorder="1" applyAlignment="1">
      <alignment horizontal="center" vertical="center" wrapText="1"/>
    </xf>
    <xf numFmtId="169" fontId="50" fillId="0" borderId="10" xfId="0" applyNumberFormat="1" applyFont="1" applyFill="1" applyBorder="1" applyAlignment="1">
      <alignment horizontal="center" vertical="center" wrapText="1"/>
    </xf>
    <xf numFmtId="49" fontId="50" fillId="0" borderId="10" xfId="0" applyNumberFormat="1" applyFont="1" applyBorder="1" applyAlignment="1">
      <alignment wrapText="1"/>
    </xf>
    <xf numFmtId="49" fontId="26" fillId="0" borderId="10" xfId="0" applyNumberFormat="1" applyFont="1" applyBorder="1" applyAlignment="1">
      <alignment wrapText="1"/>
    </xf>
    <xf numFmtId="3" fontId="26" fillId="0" borderId="14" xfId="0" applyNumberFormat="1" applyFont="1" applyFill="1" applyBorder="1" applyAlignment="1">
      <alignment horizontal="center" vertical="center"/>
    </xf>
    <xf numFmtId="0" fontId="26" fillId="24" borderId="19" xfId="0" applyFont="1" applyFill="1" applyBorder="1" applyAlignment="1">
      <alignment horizontal="left" vertical="center" wrapText="1"/>
    </xf>
    <xf numFmtId="43" fontId="26" fillId="24" borderId="10" xfId="54" applyFont="1" applyFill="1" applyBorder="1" applyAlignment="1">
      <alignment horizontal="center" vertical="center" wrapText="1"/>
    </xf>
    <xf numFmtId="0" fontId="26" fillId="24" borderId="12" xfId="0" applyFont="1" applyFill="1" applyBorder="1" applyAlignment="1">
      <alignment horizontal="left" vertical="center" wrapText="1"/>
    </xf>
    <xf numFmtId="0" fontId="50" fillId="0" borderId="10" xfId="52" applyFont="1" applyBorder="1" applyAlignment="1">
      <alignment horizontal="left" vertical="center" wrapText="1"/>
    </xf>
    <xf numFmtId="0" fontId="23" fillId="24" borderId="10" xfId="0" applyFont="1" applyFill="1" applyBorder="1" applyAlignment="1">
      <alignment horizontal="left" wrapText="1"/>
    </xf>
    <xf numFmtId="169" fontId="50" fillId="24" borderId="10" xfId="0" applyNumberFormat="1" applyFont="1" applyFill="1" applyBorder="1" applyAlignment="1">
      <alignment vertical="center" wrapText="1"/>
    </xf>
    <xf numFmtId="169" fontId="50" fillId="24" borderId="23" xfId="36" applyNumberFormat="1" applyFont="1" applyFill="1" applyBorder="1" applyAlignment="1">
      <alignment vertical="center" wrapText="1"/>
    </xf>
    <xf numFmtId="0" fontId="53" fillId="24" borderId="14" xfId="0" applyFont="1" applyFill="1" applyBorder="1" applyAlignment="1">
      <alignment horizontal="left" vertical="center" wrapText="1"/>
    </xf>
    <xf numFmtId="169" fontId="50" fillId="24" borderId="20" xfId="36" applyNumberFormat="1" applyFont="1" applyFill="1" applyBorder="1" applyAlignment="1">
      <alignment vertical="center" wrapText="1"/>
    </xf>
    <xf numFmtId="0" fontId="23" fillId="24" borderId="14" xfId="0" applyFont="1" applyFill="1" applyBorder="1" applyAlignment="1">
      <alignment horizontal="left" vertical="center" wrapText="1"/>
    </xf>
    <xf numFmtId="169" fontId="50" fillId="24" borderId="10" xfId="56" applyNumberFormat="1" applyFont="1" applyFill="1" applyBorder="1" applyAlignment="1">
      <alignment vertical="center" wrapText="1"/>
    </xf>
    <xf numFmtId="0" fontId="26" fillId="24" borderId="12" xfId="56" applyFont="1" applyFill="1" applyBorder="1" applyAlignment="1">
      <alignment horizontal="left" vertical="center" wrapText="1"/>
    </xf>
    <xf numFmtId="0" fontId="50" fillId="24" borderId="12" xfId="56" applyFont="1" applyFill="1" applyBorder="1" applyAlignment="1">
      <alignment horizontal="left" vertical="center" wrapText="1"/>
    </xf>
    <xf numFmtId="170" fontId="50" fillId="24" borderId="10" xfId="0" applyNumberFormat="1" applyFont="1" applyFill="1" applyBorder="1" applyAlignment="1">
      <alignment horizontal="center" vertical="center" wrapText="1"/>
    </xf>
    <xf numFmtId="0" fontId="26" fillId="24" borderId="21" xfId="0" applyFont="1" applyFill="1" applyBorder="1" applyAlignment="1">
      <alignment vertical="center" wrapText="1"/>
    </xf>
    <xf numFmtId="170" fontId="50" fillId="24" borderId="22" xfId="0" applyNumberFormat="1" applyFont="1" applyFill="1" applyBorder="1" applyAlignment="1">
      <alignment horizontal="center" vertical="center" wrapText="1"/>
    </xf>
    <xf numFmtId="170" fontId="26" fillId="24" borderId="20" xfId="0" applyNumberFormat="1" applyFont="1" applyFill="1" applyBorder="1" applyAlignment="1">
      <alignment horizontal="center" vertical="center" wrapText="1"/>
    </xf>
    <xf numFmtId="170" fontId="52" fillId="24" borderId="10" xfId="0" applyNumberFormat="1" applyFont="1" applyFill="1" applyBorder="1" applyAlignment="1">
      <alignment horizontal="center" vertical="center" wrapText="1"/>
    </xf>
    <xf numFmtId="0" fontId="51" fillId="24" borderId="21" xfId="0" applyFont="1" applyFill="1" applyBorder="1" applyAlignment="1">
      <alignment vertical="center" wrapText="1"/>
    </xf>
    <xf numFmtId="170" fontId="52" fillId="24" borderId="22" xfId="0" applyNumberFormat="1" applyFont="1" applyFill="1" applyBorder="1" applyAlignment="1">
      <alignment horizontal="center" vertical="center" wrapText="1"/>
    </xf>
    <xf numFmtId="169" fontId="50" fillId="24" borderId="20" xfId="0" applyNumberFormat="1" applyFont="1" applyFill="1" applyBorder="1" applyAlignment="1">
      <alignment vertical="center" wrapText="1"/>
    </xf>
    <xf numFmtId="0" fontId="50" fillId="24" borderId="10" xfId="0" applyFont="1" applyFill="1" applyBorder="1" applyAlignment="1">
      <alignment horizontal="center" vertical="center"/>
    </xf>
    <xf numFmtId="0" fontId="26" fillId="24" borderId="10" xfId="56" applyFont="1" applyFill="1" applyBorder="1" applyAlignment="1">
      <alignment horizontal="left" vertical="center" wrapText="1"/>
    </xf>
    <xf numFmtId="0" fontId="26" fillId="24" borderId="25" xfId="56" applyFont="1" applyFill="1" applyBorder="1" applyAlignment="1">
      <alignment horizontal="left" vertical="center" wrapText="1"/>
    </xf>
    <xf numFmtId="169" fontId="50" fillId="24" borderId="10" xfId="56" applyNumberFormat="1" applyFont="1" applyFill="1" applyBorder="1"/>
    <xf numFmtId="0" fontId="26" fillId="24" borderId="10" xfId="56" applyFont="1" applyFill="1" applyBorder="1" applyAlignment="1">
      <alignment vertical="center" wrapText="1"/>
    </xf>
    <xf numFmtId="43" fontId="50" fillId="24" borderId="10" xfId="54" applyFont="1" applyFill="1" applyBorder="1"/>
    <xf numFmtId="0" fontId="50" fillId="24" borderId="25" xfId="56" applyFont="1" applyFill="1" applyBorder="1" applyAlignment="1">
      <alignment horizontal="left" vertical="center" wrapText="1"/>
    </xf>
    <xf numFmtId="0" fontId="50" fillId="24" borderId="10" xfId="52" applyFont="1" applyFill="1" applyBorder="1" applyAlignment="1">
      <alignment horizontal="left" vertical="center" wrapText="1"/>
    </xf>
    <xf numFmtId="43" fontId="26" fillId="0" borderId="10" xfId="54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170" fontId="3" fillId="0" borderId="10" xfId="0" applyNumberFormat="1" applyFont="1" applyFill="1" applyBorder="1" applyAlignment="1">
      <alignment vertical="center"/>
    </xf>
    <xf numFmtId="1" fontId="3" fillId="0" borderId="10" xfId="0" applyNumberFormat="1" applyFont="1" applyFill="1" applyBorder="1" applyAlignment="1">
      <alignment vertical="center"/>
    </xf>
    <xf numFmtId="0" fontId="47" fillId="24" borderId="10" xfId="0" applyFont="1" applyFill="1" applyBorder="1" applyAlignment="1">
      <alignment horizontal="left" vertical="center" wrapText="1" shrinkToFit="1"/>
    </xf>
    <xf numFmtId="0" fontId="54" fillId="24" borderId="10" xfId="0" applyFont="1" applyFill="1" applyBorder="1" applyAlignment="1">
      <alignment horizontal="left" wrapText="1" indent="3"/>
    </xf>
    <xf numFmtId="172" fontId="47" fillId="24" borderId="10" xfId="0" applyNumberFormat="1" applyFont="1" applyFill="1" applyBorder="1" applyAlignment="1">
      <alignment vertical="center" wrapText="1"/>
    </xf>
    <xf numFmtId="0" fontId="47" fillId="24" borderId="10" xfId="56" applyFont="1" applyFill="1" applyBorder="1" applyAlignment="1">
      <alignment wrapText="1"/>
    </xf>
    <xf numFmtId="172" fontId="47" fillId="24" borderId="10" xfId="56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55" fillId="24" borderId="26" xfId="0" applyFont="1" applyFill="1" applyBorder="1" applyAlignment="1">
      <alignment horizontal="left" vertical="center" wrapText="1"/>
    </xf>
    <xf numFmtId="0" fontId="47" fillId="24" borderId="27" xfId="0" applyFont="1" applyFill="1" applyBorder="1" applyAlignment="1">
      <alignment vertical="center" wrapText="1"/>
    </xf>
    <xf numFmtId="0" fontId="54" fillId="24" borderId="10" xfId="0" applyFont="1" applyFill="1" applyBorder="1" applyAlignment="1">
      <alignment wrapText="1"/>
    </xf>
    <xf numFmtId="0" fontId="47" fillId="24" borderId="10" xfId="0" applyFont="1" applyFill="1" applyBorder="1" applyAlignment="1">
      <alignment horizontal="left" vertical="center" wrapText="1"/>
    </xf>
    <xf numFmtId="1" fontId="54" fillId="24" borderId="10" xfId="0" applyNumberFormat="1" applyFont="1" applyFill="1" applyBorder="1" applyAlignment="1">
      <alignment wrapText="1"/>
    </xf>
    <xf numFmtId="0" fontId="55" fillId="24" borderId="27" xfId="0" applyFont="1" applyFill="1" applyBorder="1" applyAlignment="1">
      <alignment horizontal="left" vertical="center" wrapText="1"/>
    </xf>
    <xf numFmtId="0" fontId="54" fillId="24" borderId="25" xfId="0" applyFont="1" applyFill="1" applyBorder="1" applyAlignment="1">
      <alignment horizontal="left" vertical="center" wrapText="1"/>
    </xf>
    <xf numFmtId="2" fontId="47" fillId="24" borderId="10" xfId="0" applyNumberFormat="1" applyFont="1" applyFill="1" applyBorder="1"/>
    <xf numFmtId="0" fontId="47" fillId="24" borderId="10" xfId="0" applyFont="1" applyFill="1" applyBorder="1" applyAlignment="1">
      <alignment horizontal="center" vertical="center"/>
    </xf>
    <xf numFmtId="49" fontId="47" fillId="24" borderId="10" xfId="0" applyNumberFormat="1" applyFont="1" applyFill="1" applyBorder="1" applyAlignment="1">
      <alignment vertical="center" wrapText="1"/>
    </xf>
    <xf numFmtId="0" fontId="3" fillId="24" borderId="10" xfId="0" applyFont="1" applyFill="1" applyBorder="1" applyAlignment="1">
      <alignment horizontal="left" vertical="center" wrapText="1"/>
    </xf>
    <xf numFmtId="0" fontId="4" fillId="24" borderId="10" xfId="0" applyFont="1" applyFill="1" applyBorder="1" applyAlignment="1">
      <alignment horizontal="left" vertical="center" wrapText="1"/>
    </xf>
    <xf numFmtId="0" fontId="3" fillId="24" borderId="10" xfId="0" applyFont="1" applyFill="1" applyBorder="1" applyAlignment="1">
      <alignment horizontal="center" wrapText="1"/>
    </xf>
    <xf numFmtId="0" fontId="3" fillId="24" borderId="10" xfId="0" applyFont="1" applyFill="1" applyBorder="1" applyAlignment="1">
      <alignment horizontal="center"/>
    </xf>
    <xf numFmtId="3" fontId="3" fillId="24" borderId="10" xfId="0" applyNumberFormat="1" applyFont="1" applyFill="1" applyBorder="1" applyAlignment="1">
      <alignment horizontal="center"/>
    </xf>
    <xf numFmtId="0" fontId="3" fillId="24" borderId="0" xfId="0" applyFont="1" applyFill="1"/>
    <xf numFmtId="0" fontId="3" fillId="24" borderId="14" xfId="0" applyFont="1" applyFill="1" applyBorder="1" applyAlignment="1">
      <alignment horizontal="left" vertical="center" wrapText="1"/>
    </xf>
    <xf numFmtId="0" fontId="3" fillId="24" borderId="28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/>
    </xf>
    <xf numFmtId="0" fontId="3" fillId="24" borderId="10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</cellXfs>
  <cellStyles count="57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Обычный_Инвестиции Сети Сбыты ЭСО 2" xfId="56"/>
    <cellStyle name="Обычный_Сб-macro 2020" xfId="55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" xfId="54" builtinId="3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view="pageBreakPreview" zoomScale="85" zoomScaleNormal="70" zoomScaleSheetLayoutView="85" workbookViewId="0">
      <selection activeCell="A14" sqref="A4:P14"/>
    </sheetView>
  </sheetViews>
  <sheetFormatPr defaultRowHeight="15.75"/>
  <cols>
    <col min="1" max="1" width="8.625" style="7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33" ht="18.75">
      <c r="P1" s="41" t="s">
        <v>45</v>
      </c>
    </row>
    <row r="2" spans="1:33" ht="18.75">
      <c r="P2" s="42" t="s">
        <v>43</v>
      </c>
    </row>
    <row r="3" spans="1:33" ht="18.75">
      <c r="P3" s="42" t="s">
        <v>44</v>
      </c>
    </row>
    <row r="4" spans="1:33" ht="54.75" customHeight="1">
      <c r="A4" s="293" t="s">
        <v>47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48"/>
      <c r="R4" s="48"/>
      <c r="S4" s="48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</row>
    <row r="5" spans="1:33" ht="18.75">
      <c r="A5" s="294"/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</row>
    <row r="6" spans="1:33" ht="18.75">
      <c r="A6" s="295" t="s">
        <v>139</v>
      </c>
      <c r="B6" s="295"/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5"/>
      <c r="P6" s="29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</row>
    <row r="7" spans="1:33">
      <c r="A7" s="296" t="s">
        <v>140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49"/>
      <c r="R7" s="49"/>
      <c r="S7" s="49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ht="18.75">
      <c r="A8" s="297" t="s">
        <v>141</v>
      </c>
      <c r="B8" s="297"/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297"/>
      <c r="N8" s="297"/>
      <c r="O8" s="297"/>
      <c r="P8" s="297"/>
      <c r="Q8" s="50"/>
      <c r="R8" s="50"/>
      <c r="S8" s="50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</row>
    <row r="9" spans="1:33" ht="18.75">
      <c r="A9" s="299"/>
      <c r="B9" s="299"/>
      <c r="C9" s="299"/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  <c r="O9" s="299"/>
      <c r="P9" s="299"/>
      <c r="Q9" s="50"/>
      <c r="R9" s="50"/>
      <c r="S9" s="50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</row>
    <row r="10" spans="1:33" ht="18.75">
      <c r="A10" s="299"/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ht="18.75">
      <c r="A11" s="301" t="s">
        <v>142</v>
      </c>
      <c r="B11" s="301"/>
      <c r="C11" s="301"/>
      <c r="D11" s="301"/>
      <c r="E11" s="301"/>
      <c r="F11" s="301"/>
      <c r="G11" s="301"/>
      <c r="H11" s="301"/>
      <c r="I11" s="301"/>
      <c r="J11" s="301"/>
      <c r="K11" s="301"/>
      <c r="L11" s="301"/>
      <c r="M11" s="301"/>
      <c r="N11" s="301"/>
      <c r="O11" s="301"/>
      <c r="P11" s="301"/>
      <c r="Q11" s="50"/>
      <c r="R11" s="50"/>
      <c r="S11" s="50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</row>
    <row r="12" spans="1:33" s="39" customFormat="1" ht="22.5" customHeight="1">
      <c r="A12" s="298" t="s">
        <v>46</v>
      </c>
      <c r="B12" s="298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39" customFormat="1" ht="18.75">
      <c r="A13" s="300" t="s">
        <v>143</v>
      </c>
      <c r="B13" s="300"/>
      <c r="C13" s="300"/>
      <c r="D13" s="300"/>
      <c r="E13" s="300"/>
      <c r="F13" s="300"/>
      <c r="G13" s="300"/>
      <c r="H13" s="300"/>
      <c r="I13" s="300"/>
      <c r="J13" s="300"/>
      <c r="K13" s="300"/>
      <c r="L13" s="300"/>
      <c r="M13" s="300"/>
      <c r="N13" s="300"/>
      <c r="O13" s="300"/>
      <c r="P13" s="300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39" customFormat="1" ht="18.75">
      <c r="A14" s="300" t="s">
        <v>144</v>
      </c>
      <c r="B14" s="300"/>
      <c r="C14" s="300"/>
      <c r="D14" s="300"/>
      <c r="E14" s="300"/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39" customFormat="1" ht="18.75" customHeight="1">
      <c r="A15" s="298" t="s">
        <v>145</v>
      </c>
      <c r="B15" s="298"/>
      <c r="C15" s="298"/>
      <c r="D15" s="298"/>
      <c r="E15" s="298"/>
      <c r="F15" s="298"/>
      <c r="G15" s="298"/>
      <c r="H15" s="298"/>
      <c r="I15" s="298"/>
      <c r="J15" s="298"/>
      <c r="K15" s="298"/>
      <c r="L15" s="298"/>
      <c r="M15" s="298"/>
      <c r="N15" s="298"/>
      <c r="O15" s="298"/>
      <c r="P15" s="298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292" t="s">
        <v>10</v>
      </c>
      <c r="B16" s="292"/>
      <c r="C16" s="292"/>
      <c r="D16" s="292"/>
      <c r="E16" s="292"/>
      <c r="F16" s="292"/>
      <c r="G16" s="292"/>
      <c r="H16" s="292"/>
      <c r="I16" s="292"/>
      <c r="J16" s="292"/>
      <c r="K16" s="292"/>
      <c r="L16" s="292"/>
      <c r="M16" s="292"/>
      <c r="N16" s="292"/>
      <c r="O16" s="292"/>
      <c r="P16" s="292"/>
    </row>
    <row r="17" spans="1:17" ht="15" customHeight="1">
      <c r="A17" s="291" t="s">
        <v>0</v>
      </c>
      <c r="B17" s="285" t="s">
        <v>2</v>
      </c>
      <c r="C17" s="287" t="s">
        <v>41</v>
      </c>
      <c r="D17" s="287"/>
      <c r="E17" s="287"/>
      <c r="F17" s="287"/>
      <c r="G17" s="287"/>
      <c r="H17" s="287"/>
      <c r="I17" s="287"/>
      <c r="J17" s="287" t="s">
        <v>42</v>
      </c>
      <c r="K17" s="287"/>
      <c r="L17" s="287"/>
      <c r="M17" s="287"/>
      <c r="N17" s="287"/>
      <c r="O17" s="287"/>
      <c r="P17" s="287"/>
      <c r="Q17" s="40"/>
    </row>
    <row r="18" spans="1:17" ht="41.25" customHeight="1">
      <c r="A18" s="291"/>
      <c r="B18" s="285"/>
      <c r="C18" s="288" t="s">
        <v>62</v>
      </c>
      <c r="D18" s="289"/>
      <c r="E18" s="289"/>
      <c r="F18" s="289"/>
      <c r="G18" s="289"/>
      <c r="H18" s="289"/>
      <c r="I18" s="290"/>
      <c r="J18" s="288" t="s">
        <v>62</v>
      </c>
      <c r="K18" s="289"/>
      <c r="L18" s="289"/>
      <c r="M18" s="289"/>
      <c r="N18" s="289"/>
      <c r="O18" s="289"/>
      <c r="P18" s="290"/>
      <c r="Q18" s="40"/>
    </row>
    <row r="19" spans="1:17" ht="33.75" customHeight="1">
      <c r="A19" s="291"/>
      <c r="B19" s="285"/>
      <c r="C19" s="285" t="s">
        <v>13</v>
      </c>
      <c r="D19" s="285"/>
      <c r="E19" s="285"/>
      <c r="F19" s="285"/>
      <c r="G19" s="285" t="s">
        <v>108</v>
      </c>
      <c r="H19" s="286"/>
      <c r="I19" s="286"/>
      <c r="J19" s="285" t="s">
        <v>13</v>
      </c>
      <c r="K19" s="285"/>
      <c r="L19" s="285"/>
      <c r="M19" s="285"/>
      <c r="N19" s="285" t="s">
        <v>108</v>
      </c>
      <c r="O19" s="286"/>
      <c r="P19" s="286"/>
    </row>
    <row r="20" spans="1:17" s="9" customFormat="1" ht="63">
      <c r="A20" s="291"/>
      <c r="B20" s="285"/>
      <c r="C20" s="89" t="s">
        <v>25</v>
      </c>
      <c r="D20" s="89" t="s">
        <v>9</v>
      </c>
      <c r="E20" s="89" t="s">
        <v>100</v>
      </c>
      <c r="F20" s="89" t="s">
        <v>11</v>
      </c>
      <c r="G20" s="89" t="s">
        <v>14</v>
      </c>
      <c r="H20" s="89" t="s">
        <v>48</v>
      </c>
      <c r="I20" s="13" t="s">
        <v>49</v>
      </c>
      <c r="J20" s="89" t="s">
        <v>25</v>
      </c>
      <c r="K20" s="89" t="s">
        <v>9</v>
      </c>
      <c r="L20" s="89" t="s">
        <v>100</v>
      </c>
      <c r="M20" s="89" t="s">
        <v>11</v>
      </c>
      <c r="N20" s="89" t="s">
        <v>14</v>
      </c>
      <c r="O20" s="89" t="s">
        <v>50</v>
      </c>
      <c r="P20" s="13" t="s">
        <v>49</v>
      </c>
      <c r="Q20" s="12"/>
    </row>
    <row r="21" spans="1:17" s="12" customFormat="1">
      <c r="A21" s="88">
        <v>1</v>
      </c>
      <c r="B21" s="89">
        <v>2</v>
      </c>
      <c r="C21" s="89">
        <v>3</v>
      </c>
      <c r="D21" s="89">
        <v>4</v>
      </c>
      <c r="E21" s="89">
        <v>5</v>
      </c>
      <c r="F21" s="89">
        <v>6</v>
      </c>
      <c r="G21" s="89">
        <v>7</v>
      </c>
      <c r="H21" s="89">
        <v>8</v>
      </c>
      <c r="I21" s="13">
        <v>9</v>
      </c>
      <c r="J21" s="89">
        <v>10</v>
      </c>
      <c r="K21" s="13">
        <v>11</v>
      </c>
      <c r="L21" s="89">
        <v>12</v>
      </c>
      <c r="M21" s="13">
        <v>13</v>
      </c>
      <c r="N21" s="89">
        <v>14</v>
      </c>
      <c r="O21" s="13">
        <v>15</v>
      </c>
      <c r="P21" s="89">
        <v>16</v>
      </c>
    </row>
    <row r="22" spans="1:17" s="9" customFormat="1" ht="47.25">
      <c r="A22" s="88">
        <v>1</v>
      </c>
      <c r="B22" s="14" t="s">
        <v>98</v>
      </c>
      <c r="C22" s="89" t="s">
        <v>125</v>
      </c>
      <c r="D22" s="89" t="s">
        <v>107</v>
      </c>
      <c r="E22" s="89" t="s">
        <v>107</v>
      </c>
      <c r="F22" s="89" t="s">
        <v>107</v>
      </c>
      <c r="G22" s="89" t="s">
        <v>107</v>
      </c>
      <c r="H22" s="89" t="s">
        <v>107</v>
      </c>
      <c r="I22" s="89" t="s">
        <v>107</v>
      </c>
      <c r="J22" s="89" t="s">
        <v>107</v>
      </c>
      <c r="K22" s="89" t="s">
        <v>107</v>
      </c>
      <c r="L22" s="89" t="s">
        <v>107</v>
      </c>
      <c r="M22" s="89" t="s">
        <v>107</v>
      </c>
      <c r="N22" s="89" t="s">
        <v>107</v>
      </c>
      <c r="O22" s="89" t="s">
        <v>107</v>
      </c>
      <c r="P22" s="89" t="s">
        <v>107</v>
      </c>
    </row>
    <row r="23" spans="1:17" s="9" customFormat="1" ht="63">
      <c r="A23" s="88" t="s">
        <v>81</v>
      </c>
      <c r="B23" s="15" t="s">
        <v>66</v>
      </c>
      <c r="C23" s="89"/>
      <c r="D23" s="89" t="s">
        <v>79</v>
      </c>
      <c r="E23" s="89"/>
      <c r="F23" s="89" t="s">
        <v>63</v>
      </c>
      <c r="G23" s="16" t="s">
        <v>29</v>
      </c>
      <c r="H23" s="10"/>
      <c r="I23" s="11"/>
      <c r="J23" s="89"/>
      <c r="K23" s="89" t="s">
        <v>22</v>
      </c>
      <c r="L23" s="89"/>
      <c r="M23" s="89" t="s">
        <v>63</v>
      </c>
      <c r="N23" s="16" t="s">
        <v>29</v>
      </c>
      <c r="O23" s="10"/>
      <c r="P23" s="11"/>
    </row>
    <row r="24" spans="1:17" s="9" customFormat="1" ht="63">
      <c r="A24" s="88" t="s">
        <v>82</v>
      </c>
      <c r="B24" s="15" t="s">
        <v>67</v>
      </c>
      <c r="C24" s="89"/>
      <c r="D24" s="89" t="s">
        <v>22</v>
      </c>
      <c r="E24" s="89"/>
      <c r="F24" s="89" t="s">
        <v>63</v>
      </c>
      <c r="G24" s="16" t="s">
        <v>29</v>
      </c>
      <c r="H24" s="10"/>
      <c r="I24" s="11"/>
      <c r="J24" s="89"/>
      <c r="K24" s="89" t="s">
        <v>22</v>
      </c>
      <c r="L24" s="89"/>
      <c r="M24" s="89" t="s">
        <v>63</v>
      </c>
      <c r="N24" s="16" t="s">
        <v>29</v>
      </c>
      <c r="O24" s="10"/>
      <c r="P24" s="11"/>
    </row>
    <row r="25" spans="1:17" s="9" customFormat="1" ht="15" customHeight="1">
      <c r="A25" s="77"/>
      <c r="B25" s="15" t="s">
        <v>1</v>
      </c>
      <c r="C25" s="89"/>
      <c r="D25" s="89"/>
      <c r="E25" s="89"/>
      <c r="F25" s="89"/>
      <c r="G25" s="16"/>
      <c r="H25" s="10"/>
      <c r="I25" s="11"/>
      <c r="J25" s="89"/>
      <c r="K25" s="89"/>
      <c r="L25" s="89"/>
      <c r="M25" s="89"/>
      <c r="N25" s="16"/>
      <c r="O25" s="10"/>
      <c r="P25" s="11"/>
    </row>
    <row r="26" spans="1:17" s="19" customFormat="1" ht="47.25">
      <c r="A26" s="78">
        <v>2</v>
      </c>
      <c r="B26" s="14" t="s">
        <v>23</v>
      </c>
      <c r="C26" s="89" t="s">
        <v>107</v>
      </c>
      <c r="D26" s="89" t="s">
        <v>107</v>
      </c>
      <c r="E26" s="89" t="s">
        <v>107</v>
      </c>
      <c r="F26" s="89" t="s">
        <v>107</v>
      </c>
      <c r="G26" s="89" t="s">
        <v>107</v>
      </c>
      <c r="H26" s="89" t="s">
        <v>107</v>
      </c>
      <c r="I26" s="89" t="s">
        <v>107</v>
      </c>
      <c r="J26" s="89" t="s">
        <v>107</v>
      </c>
      <c r="K26" s="89" t="s">
        <v>107</v>
      </c>
      <c r="L26" s="89" t="s">
        <v>107</v>
      </c>
      <c r="M26" s="89" t="s">
        <v>107</v>
      </c>
      <c r="N26" s="89" t="s">
        <v>107</v>
      </c>
      <c r="O26" s="89" t="s">
        <v>107</v>
      </c>
      <c r="P26" s="89" t="s">
        <v>107</v>
      </c>
    </row>
    <row r="27" spans="1:17" s="19" customFormat="1" ht="46.5" customHeight="1">
      <c r="A27" s="78" t="s">
        <v>83</v>
      </c>
      <c r="B27" s="15" t="s">
        <v>64</v>
      </c>
      <c r="C27" s="89"/>
      <c r="D27" s="93" t="s">
        <v>126</v>
      </c>
      <c r="E27" s="89"/>
      <c r="F27" s="89" t="s">
        <v>63</v>
      </c>
      <c r="G27" s="16" t="s">
        <v>28</v>
      </c>
      <c r="H27" s="21"/>
      <c r="I27" s="18"/>
      <c r="J27" s="89"/>
      <c r="K27" s="93" t="s">
        <v>126</v>
      </c>
      <c r="L27" s="89"/>
      <c r="M27" s="89" t="s">
        <v>63</v>
      </c>
      <c r="N27" s="16" t="s">
        <v>28</v>
      </c>
      <c r="O27" s="21"/>
      <c r="P27" s="18"/>
    </row>
    <row r="28" spans="1:17" s="19" customFormat="1" ht="49.5" customHeight="1">
      <c r="A28" s="78" t="s">
        <v>84</v>
      </c>
      <c r="B28" s="15" t="s">
        <v>65</v>
      </c>
      <c r="C28" s="89"/>
      <c r="D28" s="93" t="s">
        <v>126</v>
      </c>
      <c r="E28" s="89"/>
      <c r="F28" s="89" t="s">
        <v>63</v>
      </c>
      <c r="G28" s="16" t="s">
        <v>28</v>
      </c>
      <c r="H28" s="21"/>
      <c r="I28" s="18"/>
      <c r="J28" s="89"/>
      <c r="K28" s="93" t="s">
        <v>126</v>
      </c>
      <c r="L28" s="89"/>
      <c r="M28" s="89" t="s">
        <v>63</v>
      </c>
      <c r="N28" s="16" t="s">
        <v>28</v>
      </c>
      <c r="O28" s="21"/>
      <c r="P28" s="18"/>
    </row>
    <row r="29" spans="1:17" s="19" customFormat="1" ht="16.5" customHeight="1">
      <c r="A29" s="78"/>
      <c r="B29" s="15" t="s">
        <v>1</v>
      </c>
      <c r="C29" s="89"/>
      <c r="D29" s="93"/>
      <c r="E29" s="89"/>
      <c r="F29" s="89"/>
      <c r="G29" s="16"/>
      <c r="H29" s="21"/>
      <c r="I29" s="18"/>
      <c r="J29" s="89"/>
      <c r="K29" s="93"/>
      <c r="L29" s="89"/>
      <c r="M29" s="89"/>
      <c r="N29" s="16"/>
      <c r="O29" s="21"/>
      <c r="P29" s="18"/>
    </row>
    <row r="30" spans="1:17" s="19" customFormat="1" ht="47.25">
      <c r="A30" s="78" t="s">
        <v>85</v>
      </c>
      <c r="B30" s="15" t="s">
        <v>130</v>
      </c>
      <c r="C30" s="89" t="s">
        <v>107</v>
      </c>
      <c r="D30" s="89" t="s">
        <v>107</v>
      </c>
      <c r="E30" s="89" t="s">
        <v>107</v>
      </c>
      <c r="F30" s="89" t="s">
        <v>107</v>
      </c>
      <c r="G30" s="89" t="s">
        <v>107</v>
      </c>
      <c r="H30" s="89" t="s">
        <v>107</v>
      </c>
      <c r="I30" s="89" t="s">
        <v>107</v>
      </c>
      <c r="J30" s="89" t="s">
        <v>107</v>
      </c>
      <c r="K30" s="89" t="s">
        <v>107</v>
      </c>
      <c r="L30" s="89" t="s">
        <v>107</v>
      </c>
      <c r="M30" s="89" t="s">
        <v>107</v>
      </c>
      <c r="N30" s="89" t="s">
        <v>107</v>
      </c>
      <c r="O30" s="89" t="s">
        <v>107</v>
      </c>
      <c r="P30" s="89" t="s">
        <v>107</v>
      </c>
    </row>
    <row r="31" spans="1:17" s="19" customFormat="1" ht="31.5">
      <c r="A31" s="78" t="s">
        <v>87</v>
      </c>
      <c r="B31" s="15" t="s">
        <v>68</v>
      </c>
      <c r="C31" s="89"/>
      <c r="D31" s="89" t="s">
        <v>27</v>
      </c>
      <c r="E31" s="89"/>
      <c r="F31" s="89" t="s">
        <v>17</v>
      </c>
      <c r="G31" s="17" t="s">
        <v>30</v>
      </c>
      <c r="H31" s="21"/>
      <c r="I31" s="18"/>
      <c r="J31" s="89"/>
      <c r="K31" s="89" t="s">
        <v>27</v>
      </c>
      <c r="L31" s="89"/>
      <c r="M31" s="89" t="s">
        <v>17</v>
      </c>
      <c r="N31" s="17" t="s">
        <v>30</v>
      </c>
      <c r="O31" s="21"/>
      <c r="P31" s="18"/>
    </row>
    <row r="32" spans="1:17" s="19" customFormat="1" ht="31.5">
      <c r="A32" s="78" t="s">
        <v>88</v>
      </c>
      <c r="B32" s="15" t="s">
        <v>69</v>
      </c>
      <c r="C32" s="89"/>
      <c r="D32" s="89" t="s">
        <v>27</v>
      </c>
      <c r="E32" s="89"/>
      <c r="F32" s="89" t="s">
        <v>17</v>
      </c>
      <c r="G32" s="17" t="s">
        <v>30</v>
      </c>
      <c r="H32" s="21"/>
      <c r="I32" s="18"/>
      <c r="J32" s="89"/>
      <c r="K32" s="89" t="s">
        <v>27</v>
      </c>
      <c r="L32" s="89"/>
      <c r="M32" s="89" t="s">
        <v>17</v>
      </c>
      <c r="N32" s="17" t="s">
        <v>30</v>
      </c>
      <c r="O32" s="21"/>
      <c r="P32" s="18"/>
    </row>
    <row r="33" spans="1:16" s="19" customFormat="1" ht="14.25" customHeight="1">
      <c r="A33" s="78"/>
      <c r="B33" s="15" t="s">
        <v>1</v>
      </c>
      <c r="C33" s="89"/>
      <c r="D33" s="89"/>
      <c r="E33" s="89"/>
      <c r="F33" s="89"/>
      <c r="G33" s="17"/>
      <c r="H33" s="21"/>
      <c r="I33" s="18"/>
      <c r="J33" s="89"/>
      <c r="K33" s="89"/>
      <c r="L33" s="89"/>
      <c r="M33" s="89"/>
      <c r="N33" s="17"/>
      <c r="O33" s="21"/>
      <c r="P33" s="18"/>
    </row>
    <row r="34" spans="1:16" s="19" customFormat="1" ht="33" customHeight="1">
      <c r="A34" s="78" t="s">
        <v>86</v>
      </c>
      <c r="B34" s="15" t="s">
        <v>131</v>
      </c>
      <c r="C34" s="89" t="s">
        <v>107</v>
      </c>
      <c r="D34" s="89" t="s">
        <v>107</v>
      </c>
      <c r="E34" s="89" t="s">
        <v>107</v>
      </c>
      <c r="F34" s="89" t="s">
        <v>107</v>
      </c>
      <c r="G34" s="89" t="s">
        <v>107</v>
      </c>
      <c r="H34" s="89" t="s">
        <v>107</v>
      </c>
      <c r="I34" s="89" t="s">
        <v>107</v>
      </c>
      <c r="J34" s="89" t="s">
        <v>107</v>
      </c>
      <c r="K34" s="89" t="s">
        <v>107</v>
      </c>
      <c r="L34" s="89" t="s">
        <v>107</v>
      </c>
      <c r="M34" s="89" t="s">
        <v>107</v>
      </c>
      <c r="N34" s="89" t="s">
        <v>107</v>
      </c>
      <c r="O34" s="89" t="s">
        <v>107</v>
      </c>
      <c r="P34" s="89" t="s">
        <v>107</v>
      </c>
    </row>
    <row r="35" spans="1:16" s="19" customFormat="1" ht="34.5" customHeight="1">
      <c r="A35" s="78" t="s">
        <v>89</v>
      </c>
      <c r="B35" s="15" t="s">
        <v>70</v>
      </c>
      <c r="C35" s="20"/>
      <c r="D35" s="89" t="s">
        <v>127</v>
      </c>
      <c r="E35" s="21"/>
      <c r="F35" s="89" t="s">
        <v>12</v>
      </c>
      <c r="G35" s="17" t="s">
        <v>31</v>
      </c>
      <c r="H35" s="21"/>
      <c r="I35" s="18"/>
      <c r="J35" s="20"/>
      <c r="K35" s="89" t="s">
        <v>127</v>
      </c>
      <c r="L35" s="21"/>
      <c r="M35" s="89" t="s">
        <v>12</v>
      </c>
      <c r="N35" s="17" t="s">
        <v>31</v>
      </c>
      <c r="O35" s="21"/>
      <c r="P35" s="18"/>
    </row>
    <row r="36" spans="1:16" s="19" customFormat="1" ht="41.25" customHeight="1">
      <c r="A36" s="78" t="s">
        <v>90</v>
      </c>
      <c r="B36" s="15" t="s">
        <v>71</v>
      </c>
      <c r="C36" s="20"/>
      <c r="D36" s="89" t="s">
        <v>127</v>
      </c>
      <c r="E36" s="21"/>
      <c r="F36" s="89" t="s">
        <v>12</v>
      </c>
      <c r="G36" s="17" t="s">
        <v>31</v>
      </c>
      <c r="H36" s="21"/>
      <c r="I36" s="18"/>
      <c r="J36" s="20"/>
      <c r="K36" s="89" t="s">
        <v>127</v>
      </c>
      <c r="L36" s="21"/>
      <c r="M36" s="89" t="s">
        <v>12</v>
      </c>
      <c r="N36" s="17" t="s">
        <v>31</v>
      </c>
      <c r="O36" s="21"/>
      <c r="P36" s="18"/>
    </row>
    <row r="37" spans="1:16" s="19" customFormat="1">
      <c r="A37" s="78"/>
      <c r="B37" s="15" t="s">
        <v>1</v>
      </c>
      <c r="C37" s="20"/>
      <c r="D37" s="89"/>
      <c r="E37" s="21"/>
      <c r="F37" s="89"/>
      <c r="G37" s="17"/>
      <c r="H37" s="21"/>
      <c r="I37" s="18"/>
      <c r="J37" s="20"/>
      <c r="K37" s="89"/>
      <c r="L37" s="21"/>
      <c r="M37" s="89"/>
      <c r="N37" s="17"/>
      <c r="O37" s="21"/>
      <c r="P37" s="18"/>
    </row>
    <row r="38" spans="1:16" s="19" customFormat="1" ht="47.25">
      <c r="A38" s="78">
        <v>4</v>
      </c>
      <c r="B38" s="15" t="s">
        <v>4</v>
      </c>
      <c r="C38" s="89"/>
      <c r="D38" s="89" t="s">
        <v>73</v>
      </c>
      <c r="E38" s="22" t="s">
        <v>91</v>
      </c>
      <c r="F38" s="22" t="s">
        <v>26</v>
      </c>
      <c r="G38" s="17" t="s">
        <v>32</v>
      </c>
      <c r="H38" s="21"/>
      <c r="I38" s="18"/>
      <c r="J38" s="89"/>
      <c r="K38" s="89" t="s">
        <v>73</v>
      </c>
      <c r="L38" s="22" t="s">
        <v>91</v>
      </c>
      <c r="M38" s="22" t="s">
        <v>26</v>
      </c>
      <c r="N38" s="17" t="s">
        <v>32</v>
      </c>
      <c r="O38" s="21"/>
      <c r="P38" s="18"/>
    </row>
    <row r="39" spans="1:16" s="19" customFormat="1" ht="47.25">
      <c r="A39" s="78">
        <v>5</v>
      </c>
      <c r="B39" s="15" t="s">
        <v>78</v>
      </c>
      <c r="C39" s="89"/>
      <c r="D39" s="89" t="s">
        <v>107</v>
      </c>
      <c r="E39" s="22" t="s">
        <v>92</v>
      </c>
      <c r="F39" s="22" t="s">
        <v>26</v>
      </c>
      <c r="G39" s="17" t="s">
        <v>33</v>
      </c>
      <c r="H39" s="3" t="s">
        <v>107</v>
      </c>
      <c r="I39" s="3" t="s">
        <v>107</v>
      </c>
      <c r="J39" s="89"/>
      <c r="K39" s="89" t="s">
        <v>107</v>
      </c>
      <c r="L39" s="22" t="s">
        <v>92</v>
      </c>
      <c r="M39" s="22" t="s">
        <v>26</v>
      </c>
      <c r="N39" s="17" t="s">
        <v>33</v>
      </c>
      <c r="O39" s="3" t="s">
        <v>107</v>
      </c>
      <c r="P39" s="3" t="s">
        <v>107</v>
      </c>
    </row>
    <row r="40" spans="1:16" s="19" customFormat="1" ht="63">
      <c r="A40" s="78" t="s">
        <v>93</v>
      </c>
      <c r="B40" s="15" t="s">
        <v>66</v>
      </c>
      <c r="C40" s="89"/>
      <c r="D40" s="89" t="s">
        <v>107</v>
      </c>
      <c r="E40" s="22"/>
      <c r="F40" s="22" t="s">
        <v>26</v>
      </c>
      <c r="G40" s="17" t="s">
        <v>33</v>
      </c>
      <c r="H40" s="3" t="s">
        <v>107</v>
      </c>
      <c r="I40" s="3" t="s">
        <v>107</v>
      </c>
      <c r="J40" s="89"/>
      <c r="K40" s="89" t="s">
        <v>107</v>
      </c>
      <c r="L40" s="22"/>
      <c r="M40" s="22" t="s">
        <v>26</v>
      </c>
      <c r="N40" s="17" t="s">
        <v>33</v>
      </c>
      <c r="O40" s="3" t="s">
        <v>107</v>
      </c>
      <c r="P40" s="3" t="s">
        <v>107</v>
      </c>
    </row>
    <row r="41" spans="1:16" s="19" customFormat="1" ht="63">
      <c r="A41" s="78" t="s">
        <v>94</v>
      </c>
      <c r="B41" s="15" t="s">
        <v>67</v>
      </c>
      <c r="C41" s="89"/>
      <c r="D41" s="89" t="s">
        <v>107</v>
      </c>
      <c r="E41" s="22"/>
      <c r="F41" s="22" t="s">
        <v>26</v>
      </c>
      <c r="G41" s="17" t="s">
        <v>33</v>
      </c>
      <c r="H41" s="3" t="s">
        <v>107</v>
      </c>
      <c r="I41" s="3" t="s">
        <v>107</v>
      </c>
      <c r="J41" s="89"/>
      <c r="K41" s="89" t="s">
        <v>107</v>
      </c>
      <c r="L41" s="22"/>
      <c r="M41" s="22" t="s">
        <v>26</v>
      </c>
      <c r="N41" s="17" t="s">
        <v>33</v>
      </c>
      <c r="O41" s="3" t="s">
        <v>107</v>
      </c>
      <c r="P41" s="3" t="s">
        <v>107</v>
      </c>
    </row>
    <row r="42" spans="1:16" s="19" customFormat="1" ht="18.75">
      <c r="A42" s="78" t="s">
        <v>1</v>
      </c>
      <c r="B42" s="15" t="s">
        <v>1</v>
      </c>
      <c r="C42" s="89"/>
      <c r="D42" s="89" t="s">
        <v>107</v>
      </c>
      <c r="E42" s="22"/>
      <c r="F42" s="22" t="s">
        <v>26</v>
      </c>
      <c r="G42" s="17" t="s">
        <v>33</v>
      </c>
      <c r="H42" s="3" t="s">
        <v>107</v>
      </c>
      <c r="I42" s="3" t="s">
        <v>107</v>
      </c>
      <c r="J42" s="89"/>
      <c r="K42" s="89" t="s">
        <v>107</v>
      </c>
      <c r="L42" s="22"/>
      <c r="M42" s="22" t="s">
        <v>26</v>
      </c>
      <c r="N42" s="17" t="s">
        <v>33</v>
      </c>
      <c r="O42" s="3" t="s">
        <v>107</v>
      </c>
      <c r="P42" s="3" t="s">
        <v>107</v>
      </c>
    </row>
    <row r="43" spans="1:16" s="19" customFormat="1" ht="18.75">
      <c r="A43" s="78" t="s">
        <v>95</v>
      </c>
      <c r="B43" s="15" t="s">
        <v>64</v>
      </c>
      <c r="C43" s="89"/>
      <c r="D43" s="89" t="s">
        <v>107</v>
      </c>
      <c r="E43" s="22"/>
      <c r="F43" s="22" t="s">
        <v>26</v>
      </c>
      <c r="G43" s="17" t="s">
        <v>33</v>
      </c>
      <c r="H43" s="3" t="s">
        <v>107</v>
      </c>
      <c r="I43" s="3" t="s">
        <v>107</v>
      </c>
      <c r="J43" s="89"/>
      <c r="K43" s="89" t="s">
        <v>107</v>
      </c>
      <c r="L43" s="22"/>
      <c r="M43" s="22" t="s">
        <v>26</v>
      </c>
      <c r="N43" s="17" t="s">
        <v>33</v>
      </c>
      <c r="O43" s="3" t="s">
        <v>107</v>
      </c>
      <c r="P43" s="3" t="s">
        <v>107</v>
      </c>
    </row>
    <row r="44" spans="1:16" s="19" customFormat="1" ht="18.75">
      <c r="A44" s="78" t="s">
        <v>95</v>
      </c>
      <c r="B44" s="15" t="s">
        <v>65</v>
      </c>
      <c r="C44" s="89"/>
      <c r="D44" s="89" t="s">
        <v>107</v>
      </c>
      <c r="E44" s="22"/>
      <c r="F44" s="22" t="s">
        <v>26</v>
      </c>
      <c r="G44" s="17" t="s">
        <v>33</v>
      </c>
      <c r="H44" s="3" t="s">
        <v>107</v>
      </c>
      <c r="I44" s="3" t="s">
        <v>107</v>
      </c>
      <c r="J44" s="89"/>
      <c r="K44" s="89" t="s">
        <v>107</v>
      </c>
      <c r="L44" s="22"/>
      <c r="M44" s="22" t="s">
        <v>26</v>
      </c>
      <c r="N44" s="17" t="s">
        <v>33</v>
      </c>
      <c r="O44" s="3" t="s">
        <v>107</v>
      </c>
      <c r="P44" s="3" t="s">
        <v>107</v>
      </c>
    </row>
    <row r="45" spans="1:16" s="19" customFormat="1" ht="18.75">
      <c r="A45" s="78"/>
      <c r="B45" s="15" t="s">
        <v>1</v>
      </c>
      <c r="C45" s="89"/>
      <c r="D45" s="89" t="s">
        <v>107</v>
      </c>
      <c r="E45" s="22"/>
      <c r="F45" s="22" t="s">
        <v>26</v>
      </c>
      <c r="G45" s="17" t="s">
        <v>33</v>
      </c>
      <c r="H45" s="3" t="s">
        <v>107</v>
      </c>
      <c r="I45" s="3" t="s">
        <v>107</v>
      </c>
      <c r="J45" s="89"/>
      <c r="K45" s="89" t="s">
        <v>107</v>
      </c>
      <c r="L45" s="22"/>
      <c r="M45" s="22" t="s">
        <v>26</v>
      </c>
      <c r="N45" s="17" t="s">
        <v>33</v>
      </c>
      <c r="O45" s="3" t="s">
        <v>107</v>
      </c>
      <c r="P45" s="3" t="s">
        <v>107</v>
      </c>
    </row>
    <row r="46" spans="1:16" s="19" customFormat="1" ht="18.75">
      <c r="A46" s="78" t="s">
        <v>95</v>
      </c>
      <c r="B46" s="15" t="s">
        <v>68</v>
      </c>
      <c r="C46" s="89"/>
      <c r="D46" s="89" t="s">
        <v>107</v>
      </c>
      <c r="E46" s="22"/>
      <c r="F46" s="22" t="s">
        <v>26</v>
      </c>
      <c r="G46" s="17" t="s">
        <v>33</v>
      </c>
      <c r="H46" s="3" t="s">
        <v>107</v>
      </c>
      <c r="I46" s="3" t="s">
        <v>107</v>
      </c>
      <c r="J46" s="89"/>
      <c r="K46" s="89" t="s">
        <v>107</v>
      </c>
      <c r="L46" s="22"/>
      <c r="M46" s="22" t="s">
        <v>26</v>
      </c>
      <c r="N46" s="17" t="s">
        <v>33</v>
      </c>
      <c r="O46" s="3" t="s">
        <v>107</v>
      </c>
      <c r="P46" s="3" t="s">
        <v>107</v>
      </c>
    </row>
    <row r="47" spans="1:16" s="19" customFormat="1" ht="18.75">
      <c r="A47" s="78" t="s">
        <v>95</v>
      </c>
      <c r="B47" s="15" t="s">
        <v>69</v>
      </c>
      <c r="C47" s="89"/>
      <c r="D47" s="89" t="s">
        <v>107</v>
      </c>
      <c r="E47" s="22"/>
      <c r="F47" s="22" t="s">
        <v>26</v>
      </c>
      <c r="G47" s="17" t="s">
        <v>33</v>
      </c>
      <c r="H47" s="3" t="s">
        <v>107</v>
      </c>
      <c r="I47" s="3" t="s">
        <v>107</v>
      </c>
      <c r="J47" s="89"/>
      <c r="K47" s="89" t="s">
        <v>107</v>
      </c>
      <c r="L47" s="22"/>
      <c r="M47" s="22" t="s">
        <v>26</v>
      </c>
      <c r="N47" s="17" t="s">
        <v>33</v>
      </c>
      <c r="O47" s="3" t="s">
        <v>107</v>
      </c>
      <c r="P47" s="3" t="s">
        <v>107</v>
      </c>
    </row>
    <row r="48" spans="1:16" s="19" customFormat="1" ht="18.75">
      <c r="A48" s="78"/>
      <c r="B48" s="15" t="s">
        <v>1</v>
      </c>
      <c r="C48" s="89"/>
      <c r="D48" s="89" t="s">
        <v>107</v>
      </c>
      <c r="E48" s="22"/>
      <c r="F48" s="22" t="s">
        <v>26</v>
      </c>
      <c r="G48" s="17" t="s">
        <v>33</v>
      </c>
      <c r="H48" s="3" t="s">
        <v>107</v>
      </c>
      <c r="I48" s="3" t="s">
        <v>107</v>
      </c>
      <c r="J48" s="89"/>
      <c r="K48" s="89" t="s">
        <v>107</v>
      </c>
      <c r="L48" s="22"/>
      <c r="M48" s="22" t="s">
        <v>26</v>
      </c>
      <c r="N48" s="17" t="s">
        <v>33</v>
      </c>
      <c r="O48" s="3" t="s">
        <v>107</v>
      </c>
      <c r="P48" s="3" t="s">
        <v>107</v>
      </c>
    </row>
    <row r="49" spans="1:16" s="19" customFormat="1" ht="99" customHeight="1">
      <c r="A49" s="78" t="s">
        <v>95</v>
      </c>
      <c r="B49" s="15" t="s">
        <v>99</v>
      </c>
      <c r="C49" s="89"/>
      <c r="D49" s="89" t="s">
        <v>97</v>
      </c>
      <c r="E49" s="22"/>
      <c r="F49" s="22" t="s">
        <v>26</v>
      </c>
      <c r="G49" s="17" t="s">
        <v>33</v>
      </c>
      <c r="H49" s="3" t="s">
        <v>107</v>
      </c>
      <c r="I49" s="3" t="s">
        <v>107</v>
      </c>
      <c r="J49" s="89"/>
      <c r="K49" s="89" t="s">
        <v>97</v>
      </c>
      <c r="L49" s="22"/>
      <c r="M49" s="22" t="s">
        <v>26</v>
      </c>
      <c r="N49" s="17" t="s">
        <v>33</v>
      </c>
      <c r="O49" s="3" t="s">
        <v>107</v>
      </c>
      <c r="P49" s="3" t="s">
        <v>107</v>
      </c>
    </row>
    <row r="50" spans="1:16" s="19" customFormat="1" ht="31.5">
      <c r="A50" s="78" t="s">
        <v>95</v>
      </c>
      <c r="B50" s="15" t="s">
        <v>80</v>
      </c>
      <c r="C50" s="89"/>
      <c r="D50" s="89" t="s">
        <v>96</v>
      </c>
      <c r="E50" s="22"/>
      <c r="F50" s="22" t="s">
        <v>26</v>
      </c>
      <c r="G50" s="17" t="s">
        <v>33</v>
      </c>
      <c r="H50" s="3" t="s">
        <v>107</v>
      </c>
      <c r="I50" s="3" t="s">
        <v>107</v>
      </c>
      <c r="J50" s="89"/>
      <c r="K50" s="89" t="s">
        <v>96</v>
      </c>
      <c r="L50" s="22"/>
      <c r="M50" s="22" t="s">
        <v>26</v>
      </c>
      <c r="N50" s="17" t="s">
        <v>33</v>
      </c>
      <c r="O50" s="3" t="s">
        <v>107</v>
      </c>
      <c r="P50" s="3" t="s">
        <v>107</v>
      </c>
    </row>
    <row r="51" spans="1:16" s="19" customFormat="1">
      <c r="A51" s="78">
        <v>6</v>
      </c>
      <c r="B51" s="15" t="s">
        <v>5</v>
      </c>
      <c r="C51" s="89"/>
      <c r="D51" s="89" t="s">
        <v>19</v>
      </c>
      <c r="E51" s="89">
        <v>1</v>
      </c>
      <c r="F51" s="89" t="s">
        <v>17</v>
      </c>
      <c r="G51" s="17" t="s">
        <v>34</v>
      </c>
      <c r="H51" s="21"/>
      <c r="I51" s="18"/>
      <c r="J51" s="89"/>
      <c r="K51" s="89" t="s">
        <v>19</v>
      </c>
      <c r="L51" s="89">
        <v>1</v>
      </c>
      <c r="M51" s="89" t="s">
        <v>17</v>
      </c>
      <c r="N51" s="17" t="s">
        <v>34</v>
      </c>
      <c r="O51" s="21"/>
      <c r="P51" s="18"/>
    </row>
    <row r="52" spans="1:16" s="19" customFormat="1">
      <c r="A52" s="78">
        <v>7</v>
      </c>
      <c r="B52" s="15" t="s">
        <v>6</v>
      </c>
      <c r="C52" s="89"/>
      <c r="D52" s="89" t="s">
        <v>15</v>
      </c>
      <c r="E52" s="89">
        <v>1</v>
      </c>
      <c r="F52" s="89" t="s">
        <v>17</v>
      </c>
      <c r="G52" s="17" t="s">
        <v>35</v>
      </c>
      <c r="H52" s="21"/>
      <c r="I52" s="18"/>
      <c r="J52" s="89"/>
      <c r="K52" s="89" t="s">
        <v>15</v>
      </c>
      <c r="L52" s="89">
        <v>1</v>
      </c>
      <c r="M52" s="89" t="s">
        <v>17</v>
      </c>
      <c r="N52" s="17" t="s">
        <v>35</v>
      </c>
      <c r="O52" s="21"/>
      <c r="P52" s="18"/>
    </row>
    <row r="53" spans="1:16" s="19" customFormat="1" ht="45.75" customHeight="1">
      <c r="A53" s="78"/>
      <c r="B53" s="51" t="s">
        <v>72</v>
      </c>
      <c r="C53" s="90" t="s">
        <v>107</v>
      </c>
      <c r="D53" s="90" t="s">
        <v>107</v>
      </c>
      <c r="E53" s="90" t="s">
        <v>107</v>
      </c>
      <c r="F53" s="90" t="s">
        <v>107</v>
      </c>
      <c r="G53" s="90" t="s">
        <v>107</v>
      </c>
      <c r="H53" s="90" t="s">
        <v>107</v>
      </c>
      <c r="I53" s="90"/>
      <c r="J53" s="90" t="s">
        <v>107</v>
      </c>
      <c r="K53" s="90" t="s">
        <v>107</v>
      </c>
      <c r="L53" s="90" t="s">
        <v>107</v>
      </c>
      <c r="M53" s="90" t="s">
        <v>107</v>
      </c>
      <c r="N53" s="90" t="s">
        <v>107</v>
      </c>
      <c r="O53" s="90" t="s">
        <v>107</v>
      </c>
      <c r="P53" s="90"/>
    </row>
    <row r="54" spans="1:16" s="53" customFormat="1" ht="18.75" customHeight="1">
      <c r="A54" s="306"/>
      <c r="B54" s="306"/>
      <c r="C54" s="306"/>
      <c r="D54" s="306"/>
      <c r="E54" s="306"/>
      <c r="F54" s="306"/>
      <c r="G54" s="306"/>
      <c r="H54" s="91"/>
      <c r="I54" s="35"/>
    </row>
    <row r="55" spans="1:16" s="53" customFormat="1" ht="41.25" customHeight="1">
      <c r="A55" s="306"/>
      <c r="B55" s="306"/>
      <c r="C55" s="306"/>
      <c r="D55" s="306"/>
      <c r="E55" s="306"/>
      <c r="F55" s="306"/>
      <c r="G55" s="306"/>
      <c r="H55" s="91"/>
      <c r="I55" s="35"/>
    </row>
    <row r="56" spans="1:16" s="53" customFormat="1" ht="38.25" customHeight="1">
      <c r="A56" s="306"/>
      <c r="B56" s="306"/>
      <c r="C56" s="306"/>
      <c r="D56" s="306"/>
      <c r="E56" s="306"/>
      <c r="F56" s="306"/>
      <c r="G56" s="306"/>
      <c r="H56" s="94"/>
      <c r="I56" s="35"/>
    </row>
    <row r="57" spans="1:16" s="53" customFormat="1" ht="18.75" customHeight="1">
      <c r="A57" s="307"/>
      <c r="B57" s="307"/>
      <c r="C57" s="307"/>
      <c r="D57" s="307"/>
      <c r="E57" s="307"/>
      <c r="F57" s="307"/>
      <c r="G57" s="307"/>
      <c r="H57" s="91"/>
      <c r="I57" s="35"/>
    </row>
    <row r="58" spans="1:16" s="53" customFormat="1" ht="217.5" customHeight="1">
      <c r="A58" s="302"/>
      <c r="B58" s="305"/>
      <c r="C58" s="305"/>
      <c r="D58" s="305"/>
      <c r="E58" s="305"/>
      <c r="F58" s="305"/>
      <c r="G58" s="305"/>
      <c r="H58" s="91"/>
      <c r="I58" s="35"/>
    </row>
    <row r="59" spans="1:16" ht="53.25" customHeight="1">
      <c r="A59" s="302"/>
      <c r="B59" s="303"/>
      <c r="C59" s="303"/>
      <c r="D59" s="303"/>
      <c r="E59" s="303"/>
      <c r="F59" s="303"/>
      <c r="G59" s="303"/>
    </row>
    <row r="60" spans="1:16">
      <c r="A60" s="304"/>
      <c r="B60" s="304"/>
      <c r="C60" s="304"/>
      <c r="D60" s="304"/>
      <c r="E60" s="304"/>
      <c r="F60" s="304"/>
      <c r="G60" s="304"/>
    </row>
    <row r="61" spans="1:16">
      <c r="B61" s="94"/>
    </row>
    <row r="65" spans="2:2">
      <c r="B65" s="94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88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3"/>
  <sheetViews>
    <sheetView tabSelected="1" view="pageBreakPreview" zoomScale="80" zoomScaleNormal="70" zoomScaleSheetLayoutView="80" workbookViewId="0">
      <selection activeCell="A41" sqref="A41:XFD61"/>
    </sheetView>
  </sheetViews>
  <sheetFormatPr defaultRowHeight="15.75"/>
  <cols>
    <col min="1" max="1" width="11" style="7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>
      <c r="G1" s="284"/>
      <c r="H1" s="284"/>
    </row>
    <row r="2" spans="1:16">
      <c r="G2" s="284"/>
      <c r="H2" s="284"/>
    </row>
    <row r="3" spans="1:16">
      <c r="G3" s="331" t="s">
        <v>518</v>
      </c>
      <c r="H3" s="331"/>
      <c r="I3" s="331"/>
    </row>
    <row r="4" spans="1:16">
      <c r="G4" s="331" t="s">
        <v>519</v>
      </c>
      <c r="H4" s="331"/>
      <c r="I4" s="331"/>
    </row>
    <row r="5" spans="1:16">
      <c r="G5" s="331" t="s">
        <v>520</v>
      </c>
      <c r="H5" s="331"/>
      <c r="I5" s="331"/>
    </row>
    <row r="6" spans="1:16" ht="79.5" customHeight="1">
      <c r="A6" s="293" t="s">
        <v>517</v>
      </c>
      <c r="B6" s="293"/>
      <c r="C6" s="293"/>
      <c r="D6" s="293"/>
      <c r="E6" s="293"/>
      <c r="F6" s="293"/>
      <c r="G6" s="293"/>
      <c r="H6" s="293"/>
      <c r="I6" s="293"/>
      <c r="J6" s="293"/>
      <c r="K6" s="293"/>
      <c r="L6" s="293"/>
      <c r="M6" s="293"/>
      <c r="N6" s="293"/>
      <c r="O6" s="293"/>
      <c r="P6" s="293"/>
    </row>
    <row r="7" spans="1:16" ht="18.75">
      <c r="A7" s="294"/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</row>
    <row r="8" spans="1:16">
      <c r="A8" s="295" t="s">
        <v>139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</row>
    <row r="9" spans="1:16">
      <c r="A9" s="296" t="s">
        <v>140</v>
      </c>
      <c r="B9" s="296"/>
      <c r="C9" s="296"/>
      <c r="D9" s="296"/>
      <c r="E9" s="296"/>
      <c r="F9" s="296"/>
      <c r="G9" s="296"/>
      <c r="H9" s="296"/>
      <c r="I9" s="296"/>
      <c r="J9" s="296"/>
      <c r="K9" s="296"/>
      <c r="L9" s="296"/>
      <c r="M9" s="296"/>
      <c r="N9" s="296"/>
      <c r="O9" s="296"/>
      <c r="P9" s="296"/>
    </row>
    <row r="10" spans="1:16">
      <c r="A10" s="297" t="s">
        <v>141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</row>
    <row r="11" spans="1:16">
      <c r="A11" s="299"/>
      <c r="B11" s="299"/>
      <c r="C11" s="299"/>
      <c r="D11" s="299"/>
      <c r="E11" s="299"/>
      <c r="F11" s="299"/>
      <c r="G11" s="299"/>
      <c r="H11" s="299"/>
      <c r="I11" s="299"/>
      <c r="J11" s="299"/>
      <c r="K11" s="299"/>
      <c r="L11" s="299"/>
      <c r="M11" s="299"/>
      <c r="N11" s="299"/>
      <c r="O11" s="299"/>
      <c r="P11" s="299"/>
    </row>
    <row r="12" spans="1:16">
      <c r="A12" s="299"/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</row>
    <row r="13" spans="1:16">
      <c r="A13" s="301" t="s">
        <v>142</v>
      </c>
      <c r="B13" s="301"/>
      <c r="C13" s="301"/>
      <c r="D13" s="301"/>
      <c r="E13" s="301"/>
      <c r="F13" s="301"/>
      <c r="G13" s="301"/>
      <c r="H13" s="301"/>
      <c r="I13" s="301"/>
      <c r="J13" s="301"/>
      <c r="K13" s="301"/>
      <c r="L13" s="301"/>
      <c r="M13" s="301"/>
      <c r="N13" s="301"/>
      <c r="O13" s="301"/>
      <c r="P13" s="301"/>
    </row>
    <row r="14" spans="1:16">
      <c r="A14" s="298" t="s">
        <v>46</v>
      </c>
      <c r="B14" s="298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</row>
    <row r="15" spans="1:16">
      <c r="A15" s="300" t="s">
        <v>143</v>
      </c>
      <c r="B15" s="300"/>
      <c r="C15" s="300"/>
      <c r="D15" s="300"/>
      <c r="E15" s="300"/>
      <c r="F15" s="300"/>
      <c r="G15" s="300"/>
      <c r="H15" s="300"/>
      <c r="I15" s="300"/>
      <c r="J15" s="300"/>
      <c r="K15" s="300"/>
      <c r="L15" s="300"/>
      <c r="M15" s="300"/>
      <c r="N15" s="300"/>
      <c r="O15" s="300"/>
      <c r="P15" s="300"/>
    </row>
    <row r="16" spans="1:16">
      <c r="A16" s="300" t="s">
        <v>144</v>
      </c>
      <c r="B16" s="300"/>
      <c r="C16" s="300"/>
      <c r="D16" s="300"/>
      <c r="E16" s="300"/>
      <c r="F16" s="300"/>
      <c r="G16" s="300"/>
      <c r="H16" s="300"/>
      <c r="I16" s="300"/>
      <c r="J16" s="300"/>
      <c r="K16" s="300"/>
      <c r="L16" s="300"/>
      <c r="M16" s="300"/>
      <c r="N16" s="300"/>
      <c r="O16" s="300"/>
      <c r="P16" s="300"/>
    </row>
    <row r="17" spans="1:16">
      <c r="G17" s="284"/>
      <c r="H17" s="284"/>
    </row>
    <row r="18" spans="1:16" s="19" customFormat="1">
      <c r="A18" s="292" t="s">
        <v>516</v>
      </c>
      <c r="B18" s="292"/>
      <c r="C18" s="292"/>
      <c r="D18" s="292"/>
      <c r="E18" s="292"/>
      <c r="F18" s="292"/>
      <c r="G18" s="292"/>
      <c r="H18" s="292"/>
      <c r="I18" s="292"/>
      <c r="J18" s="292"/>
      <c r="K18" s="292"/>
      <c r="L18" s="292"/>
      <c r="M18" s="292"/>
      <c r="N18" s="292"/>
      <c r="O18" s="292"/>
      <c r="P18" s="292"/>
    </row>
    <row r="19" spans="1:16" s="19" customFormat="1">
      <c r="A19" s="291" t="s">
        <v>0</v>
      </c>
      <c r="B19" s="285" t="s">
        <v>2</v>
      </c>
      <c r="C19" s="287" t="s">
        <v>41</v>
      </c>
      <c r="D19" s="287"/>
      <c r="E19" s="287"/>
      <c r="F19" s="287"/>
      <c r="G19" s="287"/>
      <c r="H19" s="287"/>
      <c r="I19" s="287"/>
      <c r="J19" s="287" t="s">
        <v>42</v>
      </c>
      <c r="K19" s="287"/>
      <c r="L19" s="287"/>
      <c r="M19" s="287"/>
      <c r="N19" s="287"/>
      <c r="O19" s="287"/>
      <c r="P19" s="287"/>
    </row>
    <row r="20" spans="1:16" s="19" customFormat="1" ht="47.25" customHeight="1">
      <c r="A20" s="291"/>
      <c r="B20" s="285"/>
      <c r="C20" s="285" t="s">
        <v>62</v>
      </c>
      <c r="D20" s="285"/>
      <c r="E20" s="285"/>
      <c r="F20" s="285"/>
      <c r="G20" s="285"/>
      <c r="H20" s="285"/>
      <c r="I20" s="285"/>
      <c r="J20" s="285" t="s">
        <v>62</v>
      </c>
      <c r="K20" s="285"/>
      <c r="L20" s="285"/>
      <c r="M20" s="285"/>
      <c r="N20" s="285"/>
      <c r="O20" s="285"/>
      <c r="P20" s="285"/>
    </row>
    <row r="21" spans="1:16" ht="33.75" customHeight="1">
      <c r="A21" s="291"/>
      <c r="B21" s="285"/>
      <c r="C21" s="285" t="s">
        <v>13</v>
      </c>
      <c r="D21" s="285"/>
      <c r="E21" s="285"/>
      <c r="F21" s="285"/>
      <c r="G21" s="285" t="s">
        <v>108</v>
      </c>
      <c r="H21" s="286"/>
      <c r="I21" s="286"/>
      <c r="J21" s="285" t="s">
        <v>13</v>
      </c>
      <c r="K21" s="285"/>
      <c r="L21" s="285"/>
      <c r="M21" s="285"/>
      <c r="N21" s="285" t="s">
        <v>108</v>
      </c>
      <c r="O21" s="286"/>
      <c r="P21" s="286"/>
    </row>
    <row r="22" spans="1:16" s="9" customFormat="1" ht="63">
      <c r="A22" s="291"/>
      <c r="B22" s="285"/>
      <c r="C22" s="89" t="s">
        <v>25</v>
      </c>
      <c r="D22" s="89" t="s">
        <v>9</v>
      </c>
      <c r="E22" s="89" t="s">
        <v>100</v>
      </c>
      <c r="F22" s="89" t="s">
        <v>11</v>
      </c>
      <c r="G22" s="89" t="s">
        <v>14</v>
      </c>
      <c r="H22" s="89" t="s">
        <v>48</v>
      </c>
      <c r="I22" s="13" t="s">
        <v>49</v>
      </c>
      <c r="J22" s="89" t="s">
        <v>25</v>
      </c>
      <c r="K22" s="89" t="s">
        <v>9</v>
      </c>
      <c r="L22" s="89" t="s">
        <v>100</v>
      </c>
      <c r="M22" s="89" t="s">
        <v>11</v>
      </c>
      <c r="N22" s="89" t="s">
        <v>14</v>
      </c>
      <c r="O22" s="89" t="s">
        <v>50</v>
      </c>
      <c r="P22" s="13" t="s">
        <v>49</v>
      </c>
    </row>
    <row r="23" spans="1:16" s="12" customFormat="1">
      <c r="A23" s="88">
        <v>1</v>
      </c>
      <c r="B23" s="89">
        <v>2</v>
      </c>
      <c r="C23" s="89">
        <v>3</v>
      </c>
      <c r="D23" s="89">
        <v>4</v>
      </c>
      <c r="E23" s="89">
        <v>5</v>
      </c>
      <c r="F23" s="89">
        <v>6</v>
      </c>
      <c r="G23" s="89">
        <v>7</v>
      </c>
      <c r="H23" s="89">
        <v>8</v>
      </c>
      <c r="I23" s="13">
        <v>9</v>
      </c>
      <c r="J23" s="89">
        <v>10</v>
      </c>
      <c r="K23" s="13">
        <v>11</v>
      </c>
      <c r="L23" s="89">
        <v>12</v>
      </c>
      <c r="M23" s="13">
        <v>13</v>
      </c>
      <c r="N23" s="89">
        <v>14</v>
      </c>
      <c r="O23" s="13">
        <v>15</v>
      </c>
      <c r="P23" s="89">
        <v>16</v>
      </c>
    </row>
    <row r="24" spans="1:16" s="19" customFormat="1">
      <c r="A24" s="88">
        <v>1</v>
      </c>
      <c r="B24" s="14" t="s">
        <v>501</v>
      </c>
      <c r="C24" s="89" t="s">
        <v>107</v>
      </c>
      <c r="D24" s="89" t="s">
        <v>107</v>
      </c>
      <c r="E24" s="89" t="s">
        <v>107</v>
      </c>
      <c r="F24" s="89" t="s">
        <v>107</v>
      </c>
      <c r="G24" s="89" t="s">
        <v>107</v>
      </c>
      <c r="H24" s="89" t="s">
        <v>107</v>
      </c>
      <c r="I24" s="89" t="s">
        <v>107</v>
      </c>
      <c r="J24" s="89" t="s">
        <v>107</v>
      </c>
      <c r="K24" s="89" t="s">
        <v>107</v>
      </c>
      <c r="L24" s="89" t="s">
        <v>107</v>
      </c>
      <c r="M24" s="89" t="s">
        <v>107</v>
      </c>
      <c r="N24" s="89" t="s">
        <v>107</v>
      </c>
      <c r="O24" s="89" t="s">
        <v>107</v>
      </c>
      <c r="P24" s="89" t="s">
        <v>107</v>
      </c>
    </row>
    <row r="25" spans="1:16" s="19" customFormat="1" ht="63">
      <c r="A25" s="88" t="s">
        <v>81</v>
      </c>
      <c r="B25" s="15" t="s">
        <v>66</v>
      </c>
      <c r="C25" s="89"/>
      <c r="D25" s="89" t="s">
        <v>22</v>
      </c>
      <c r="E25" s="175">
        <v>1</v>
      </c>
      <c r="F25" s="89" t="s">
        <v>456</v>
      </c>
      <c r="G25" s="16"/>
      <c r="H25" s="21"/>
      <c r="I25" s="11"/>
      <c r="J25" s="89"/>
      <c r="K25" s="89" t="s">
        <v>22</v>
      </c>
      <c r="L25" s="89"/>
      <c r="M25" s="89" t="s">
        <v>63</v>
      </c>
      <c r="N25" s="16" t="s">
        <v>29</v>
      </c>
      <c r="O25" s="21"/>
      <c r="P25" s="11"/>
    </row>
    <row r="26" spans="1:16" s="19" customFormat="1">
      <c r="A26" s="174"/>
      <c r="B26" s="262" t="s">
        <v>359</v>
      </c>
      <c r="C26" s="175"/>
      <c r="D26" s="175"/>
      <c r="E26" s="175"/>
      <c r="F26" s="175" t="s">
        <v>456</v>
      </c>
      <c r="G26" s="16"/>
      <c r="H26" s="21"/>
      <c r="I26" s="11"/>
      <c r="J26" s="175"/>
      <c r="K26" s="175"/>
      <c r="L26" s="175"/>
      <c r="M26" s="175"/>
      <c r="N26" s="16"/>
      <c r="O26" s="21"/>
      <c r="P26" s="11"/>
    </row>
    <row r="27" spans="1:16" s="19" customFormat="1" ht="78.75">
      <c r="A27" s="88"/>
      <c r="B27" s="273" t="s">
        <v>502</v>
      </c>
      <c r="C27" s="89"/>
      <c r="D27" s="253" t="s">
        <v>512</v>
      </c>
      <c r="E27" s="175">
        <v>1</v>
      </c>
      <c r="F27" s="175" t="s">
        <v>456</v>
      </c>
      <c r="G27" s="16" t="s">
        <v>513</v>
      </c>
      <c r="H27" s="255">
        <f>928*1.05*1.051</f>
        <v>1024.0944</v>
      </c>
      <c r="I27" s="265">
        <v>708.95</v>
      </c>
      <c r="J27" s="89"/>
      <c r="K27" s="89"/>
      <c r="L27" s="89"/>
      <c r="M27" s="89"/>
      <c r="N27" s="16"/>
      <c r="O27" s="21"/>
      <c r="P27" s="11"/>
    </row>
    <row r="28" spans="1:16" s="19" customFormat="1" ht="47.25">
      <c r="A28" s="78"/>
      <c r="B28" s="273" t="s">
        <v>503</v>
      </c>
      <c r="C28" s="89"/>
      <c r="D28" s="281" t="s">
        <v>512</v>
      </c>
      <c r="E28" s="175">
        <v>1</v>
      </c>
      <c r="F28" s="175" t="s">
        <v>456</v>
      </c>
      <c r="G28" s="16" t="s">
        <v>513</v>
      </c>
      <c r="H28" s="255">
        <f t="shared" ref="H28:H31" si="0">928*1.05*1.051</f>
        <v>1024.0944</v>
      </c>
      <c r="I28" s="265">
        <v>708.95</v>
      </c>
      <c r="J28" s="89"/>
      <c r="K28" s="89"/>
      <c r="L28" s="89"/>
      <c r="M28" s="89"/>
      <c r="N28" s="89"/>
      <c r="O28" s="89"/>
      <c r="P28" s="89"/>
    </row>
    <row r="29" spans="1:16" s="19" customFormat="1" ht="52.5" customHeight="1">
      <c r="A29" s="78"/>
      <c r="B29" s="273" t="s">
        <v>504</v>
      </c>
      <c r="C29" s="89"/>
      <c r="D29" s="281" t="s">
        <v>512</v>
      </c>
      <c r="E29" s="175">
        <v>1</v>
      </c>
      <c r="F29" s="175" t="s">
        <v>456</v>
      </c>
      <c r="G29" s="16" t="s">
        <v>513</v>
      </c>
      <c r="H29" s="255">
        <f t="shared" si="0"/>
        <v>1024.0944</v>
      </c>
      <c r="I29" s="265">
        <v>708.95</v>
      </c>
      <c r="J29" s="89"/>
      <c r="K29" s="93"/>
      <c r="L29" s="89"/>
      <c r="M29" s="89"/>
      <c r="N29" s="16"/>
      <c r="O29" s="21"/>
      <c r="P29" s="18"/>
    </row>
    <row r="30" spans="1:16" s="19" customFormat="1" ht="48.75" customHeight="1">
      <c r="A30" s="78"/>
      <c r="B30" s="273" t="s">
        <v>505</v>
      </c>
      <c r="C30" s="89"/>
      <c r="D30" s="281" t="s">
        <v>512</v>
      </c>
      <c r="E30" s="175">
        <v>1</v>
      </c>
      <c r="F30" s="175" t="s">
        <v>456</v>
      </c>
      <c r="G30" s="16" t="s">
        <v>513</v>
      </c>
      <c r="H30" s="255">
        <f t="shared" si="0"/>
        <v>1024.0944</v>
      </c>
      <c r="I30" s="265">
        <v>708.95</v>
      </c>
      <c r="J30" s="89"/>
      <c r="K30" s="93"/>
      <c r="L30" s="89"/>
      <c r="M30" s="89"/>
      <c r="N30" s="16"/>
      <c r="O30" s="21"/>
      <c r="P30" s="18"/>
    </row>
    <row r="31" spans="1:16" s="19" customFormat="1" ht="47.25">
      <c r="A31" s="78"/>
      <c r="B31" s="273" t="s">
        <v>506</v>
      </c>
      <c r="C31" s="89"/>
      <c r="D31" s="281" t="s">
        <v>512</v>
      </c>
      <c r="E31" s="175">
        <v>1</v>
      </c>
      <c r="F31" s="175" t="s">
        <v>456</v>
      </c>
      <c r="G31" s="16" t="s">
        <v>513</v>
      </c>
      <c r="H31" s="255">
        <f t="shared" si="0"/>
        <v>1024.0944</v>
      </c>
      <c r="I31" s="265">
        <v>708.95</v>
      </c>
      <c r="J31" s="89"/>
      <c r="K31" s="93"/>
      <c r="L31" s="89"/>
      <c r="M31" s="89"/>
      <c r="N31" s="16"/>
      <c r="O31" s="21"/>
      <c r="P31" s="18"/>
    </row>
    <row r="32" spans="1:16" s="19" customFormat="1">
      <c r="A32" s="78"/>
      <c r="B32" s="262" t="s">
        <v>186</v>
      </c>
      <c r="C32" s="89"/>
      <c r="D32" s="89"/>
      <c r="E32" s="89"/>
      <c r="F32" s="89"/>
      <c r="G32" s="16"/>
      <c r="H32" s="21"/>
      <c r="I32" s="18"/>
      <c r="J32" s="89"/>
      <c r="K32" s="89"/>
      <c r="L32" s="89"/>
      <c r="M32" s="89"/>
      <c r="N32" s="16"/>
      <c r="O32" s="21"/>
      <c r="P32" s="18"/>
    </row>
    <row r="33" spans="1:16" s="19" customFormat="1" ht="47.25">
      <c r="A33" s="78"/>
      <c r="B33" s="279" t="s">
        <v>507</v>
      </c>
      <c r="C33" s="89"/>
      <c r="D33" s="281" t="s">
        <v>512</v>
      </c>
      <c r="E33" s="89">
        <v>20</v>
      </c>
      <c r="F33" s="89" t="s">
        <v>456</v>
      </c>
      <c r="G33" s="16" t="s">
        <v>513</v>
      </c>
      <c r="H33" s="255">
        <f>928*E33*1.05*1.051*1.051</f>
        <v>21526.464287999999</v>
      </c>
      <c r="I33" s="18">
        <v>14902.2</v>
      </c>
      <c r="J33" s="89"/>
      <c r="K33" s="89"/>
      <c r="L33" s="89"/>
      <c r="M33" s="89"/>
      <c r="N33" s="17"/>
      <c r="O33" s="21"/>
      <c r="P33" s="18"/>
    </row>
    <row r="34" spans="1:16" s="19" customFormat="1" ht="47.25">
      <c r="A34" s="78"/>
      <c r="B34" s="280" t="s">
        <v>508</v>
      </c>
      <c r="C34" s="89"/>
      <c r="D34" s="281" t="s">
        <v>512</v>
      </c>
      <c r="E34" s="89">
        <v>1</v>
      </c>
      <c r="F34" s="89" t="s">
        <v>456</v>
      </c>
      <c r="G34" s="16" t="s">
        <v>513</v>
      </c>
      <c r="H34" s="255">
        <f t="shared" ref="H34:H36" si="1">928*E34*1.05*1.051*1.051</f>
        <v>1076.3232143999999</v>
      </c>
      <c r="I34" s="18">
        <v>745.1</v>
      </c>
      <c r="J34" s="89"/>
      <c r="K34" s="89"/>
      <c r="L34" s="89"/>
      <c r="M34" s="89"/>
      <c r="N34" s="17"/>
      <c r="O34" s="21"/>
      <c r="P34" s="18"/>
    </row>
    <row r="35" spans="1:16" s="19" customFormat="1" ht="63">
      <c r="A35" s="78"/>
      <c r="B35" s="273" t="s">
        <v>509</v>
      </c>
      <c r="C35" s="89"/>
      <c r="D35" s="281" t="s">
        <v>512</v>
      </c>
      <c r="E35" s="89">
        <v>2</v>
      </c>
      <c r="F35" s="175" t="s">
        <v>456</v>
      </c>
      <c r="G35" s="16" t="s">
        <v>513</v>
      </c>
      <c r="H35" s="255">
        <f t="shared" si="1"/>
        <v>2152.6464287999997</v>
      </c>
      <c r="I35" s="265">
        <v>1417.9</v>
      </c>
      <c r="J35" s="89"/>
      <c r="K35" s="89"/>
      <c r="L35" s="89"/>
      <c r="M35" s="89"/>
      <c r="N35" s="17"/>
      <c r="O35" s="21"/>
      <c r="P35" s="18"/>
    </row>
    <row r="36" spans="1:16" s="19" customFormat="1" ht="63">
      <c r="A36" s="78"/>
      <c r="B36" s="273" t="s">
        <v>510</v>
      </c>
      <c r="C36" s="89"/>
      <c r="D36" s="281" t="s">
        <v>512</v>
      </c>
      <c r="E36" s="89">
        <v>2</v>
      </c>
      <c r="F36" s="175" t="s">
        <v>456</v>
      </c>
      <c r="G36" s="16" t="s">
        <v>513</v>
      </c>
      <c r="H36" s="255">
        <f t="shared" si="1"/>
        <v>2152.6464287999997</v>
      </c>
      <c r="I36" s="265">
        <v>1417.9</v>
      </c>
      <c r="J36" s="89"/>
      <c r="K36" s="89"/>
      <c r="L36" s="89"/>
      <c r="M36" s="89"/>
      <c r="N36" s="17"/>
      <c r="O36" s="21"/>
      <c r="P36" s="18"/>
    </row>
    <row r="37" spans="1:16" s="19" customFormat="1">
      <c r="A37" s="78"/>
      <c r="B37" s="262" t="s">
        <v>243</v>
      </c>
      <c r="C37" s="20"/>
      <c r="D37" s="89"/>
      <c r="E37" s="21"/>
      <c r="F37" s="89"/>
      <c r="G37" s="16"/>
      <c r="H37" s="21"/>
      <c r="I37" s="18"/>
      <c r="J37" s="20"/>
      <c r="K37" s="89"/>
      <c r="L37" s="21"/>
      <c r="M37" s="89"/>
      <c r="N37" s="17"/>
      <c r="O37" s="21"/>
      <c r="P37" s="18"/>
    </row>
    <row r="38" spans="1:16" s="19" customFormat="1" ht="47.25">
      <c r="A38" s="78"/>
      <c r="B38" s="273" t="s">
        <v>511</v>
      </c>
      <c r="C38" s="20"/>
      <c r="D38" s="281" t="s">
        <v>512</v>
      </c>
      <c r="E38" s="21">
        <v>1</v>
      </c>
      <c r="F38" s="89" t="s">
        <v>456</v>
      </c>
      <c r="G38" s="16" t="s">
        <v>513</v>
      </c>
      <c r="H38" s="256">
        <f>E38*928*1.05*1.051*1.051*1.054*1.049</f>
        <v>1190.0324567085022</v>
      </c>
      <c r="I38" s="18">
        <v>745.11</v>
      </c>
      <c r="J38" s="20"/>
      <c r="K38" s="89"/>
      <c r="L38" s="21"/>
      <c r="M38" s="89"/>
      <c r="N38" s="17"/>
      <c r="O38" s="21"/>
      <c r="P38" s="18"/>
    </row>
    <row r="39" spans="1:16" s="19" customFormat="1">
      <c r="A39" s="78"/>
      <c r="B39" s="15"/>
      <c r="C39" s="20"/>
      <c r="D39" s="89"/>
      <c r="E39" s="21"/>
      <c r="F39" s="89"/>
      <c r="G39" s="17"/>
      <c r="H39" s="21"/>
      <c r="I39" s="18"/>
      <c r="J39" s="20"/>
      <c r="K39" s="89"/>
      <c r="L39" s="21"/>
      <c r="M39" s="89"/>
      <c r="N39" s="17"/>
      <c r="O39" s="21"/>
      <c r="P39" s="18"/>
    </row>
    <row r="40" spans="1:16" s="19" customFormat="1">
      <c r="A40" s="78"/>
      <c r="B40" s="15"/>
      <c r="C40" s="89"/>
      <c r="D40" s="89"/>
      <c r="E40" s="22"/>
      <c r="F40" s="22"/>
      <c r="G40" s="17"/>
      <c r="H40" s="21"/>
      <c r="I40" s="18"/>
      <c r="J40" s="89"/>
      <c r="K40" s="89"/>
      <c r="L40" s="22"/>
      <c r="M40" s="22"/>
      <c r="N40" s="17"/>
      <c r="O40" s="21"/>
      <c r="P40" s="18"/>
    </row>
    <row r="41" spans="1:16" s="19" customFormat="1">
      <c r="A41" s="79"/>
      <c r="B41" s="29"/>
      <c r="C41" s="26"/>
      <c r="D41" s="26"/>
      <c r="E41" s="26"/>
      <c r="F41" s="26"/>
      <c r="G41" s="26"/>
      <c r="H41" s="30"/>
      <c r="I41" s="31"/>
      <c r="J41" s="5"/>
      <c r="K41" s="6"/>
      <c r="L41" s="6"/>
    </row>
    <row r="42" spans="1:16" s="53" customFormat="1" ht="18.75" customHeight="1">
      <c r="A42" s="306"/>
      <c r="B42" s="306"/>
      <c r="C42" s="306"/>
      <c r="D42" s="306"/>
      <c r="E42" s="306"/>
      <c r="F42" s="306"/>
      <c r="G42" s="306"/>
      <c r="H42" s="91"/>
      <c r="I42" s="35"/>
    </row>
    <row r="43" spans="1:16" s="53" customFormat="1" ht="41.25" customHeight="1">
      <c r="A43" s="306"/>
      <c r="B43" s="306"/>
      <c r="C43" s="306"/>
      <c r="D43" s="306"/>
      <c r="E43" s="306"/>
      <c r="F43" s="306"/>
      <c r="G43" s="306"/>
      <c r="H43" s="91"/>
      <c r="I43" s="35"/>
    </row>
    <row r="44" spans="1:16" s="53" customFormat="1" ht="38.25" customHeight="1">
      <c r="A44" s="306"/>
      <c r="B44" s="306"/>
      <c r="C44" s="306"/>
      <c r="D44" s="306"/>
      <c r="E44" s="306"/>
      <c r="F44" s="306"/>
      <c r="G44" s="306"/>
      <c r="H44" s="94"/>
      <c r="I44" s="35"/>
    </row>
    <row r="45" spans="1:16" s="53" customFormat="1" ht="18.75" customHeight="1">
      <c r="A45" s="307"/>
      <c r="B45" s="307"/>
      <c r="C45" s="307"/>
      <c r="D45" s="307"/>
      <c r="E45" s="307"/>
      <c r="F45" s="307"/>
      <c r="G45" s="307"/>
      <c r="H45" s="91"/>
      <c r="I45" s="35"/>
    </row>
    <row r="46" spans="1:16" s="53" customFormat="1" ht="217.5" customHeight="1">
      <c r="A46" s="302"/>
      <c r="B46" s="305"/>
      <c r="C46" s="305"/>
      <c r="D46" s="305"/>
      <c r="E46" s="305"/>
      <c r="F46" s="305"/>
      <c r="G46" s="305"/>
      <c r="H46" s="91"/>
      <c r="I46" s="35"/>
    </row>
    <row r="47" spans="1:16" ht="53.25" customHeight="1">
      <c r="A47" s="302"/>
      <c r="B47" s="303"/>
      <c r="C47" s="303"/>
      <c r="D47" s="303"/>
      <c r="E47" s="303"/>
      <c r="F47" s="303"/>
      <c r="G47" s="303"/>
    </row>
    <row r="48" spans="1:16">
      <c r="A48" s="304"/>
      <c r="B48" s="304"/>
      <c r="C48" s="304"/>
      <c r="D48" s="304"/>
      <c r="E48" s="304"/>
      <c r="F48" s="304"/>
      <c r="G48" s="304"/>
    </row>
    <row r="49" spans="2:2">
      <c r="B49" s="94"/>
    </row>
    <row r="53" spans="2:2">
      <c r="B53" s="94"/>
    </row>
  </sheetData>
  <mergeCells count="32">
    <mergeCell ref="A16:P16"/>
    <mergeCell ref="G3:I3"/>
    <mergeCell ref="G4:I4"/>
    <mergeCell ref="G5:I5"/>
    <mergeCell ref="A11:P11"/>
    <mergeCell ref="A12:P12"/>
    <mergeCell ref="A13:P13"/>
    <mergeCell ref="A14:P14"/>
    <mergeCell ref="A15:P15"/>
    <mergeCell ref="A6:P6"/>
    <mergeCell ref="A7:P7"/>
    <mergeCell ref="A8:P8"/>
    <mergeCell ref="A9:P9"/>
    <mergeCell ref="A10:P10"/>
    <mergeCell ref="A45:G45"/>
    <mergeCell ref="A46:G46"/>
    <mergeCell ref="A47:G47"/>
    <mergeCell ref="A48:G48"/>
    <mergeCell ref="A42:G42"/>
    <mergeCell ref="A43:G43"/>
    <mergeCell ref="A44:G44"/>
    <mergeCell ref="J21:M21"/>
    <mergeCell ref="N21:P21"/>
    <mergeCell ref="A18:P18"/>
    <mergeCell ref="A19:A22"/>
    <mergeCell ref="B19:B22"/>
    <mergeCell ref="C19:I19"/>
    <mergeCell ref="J19:P19"/>
    <mergeCell ref="C20:I20"/>
    <mergeCell ref="J20:P20"/>
    <mergeCell ref="C21:F21"/>
    <mergeCell ref="G21:I21"/>
  </mergeCells>
  <pageMargins left="0.47244094488188981" right="0.55118110236220474" top="0.82677165354330717" bottom="0.55118110236220474" header="0.31496062992125984" footer="0.19685039370078741"/>
  <pageSetup paperSize="8" scale="58" fitToHeight="0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4"/>
  <sheetViews>
    <sheetView view="pageBreakPreview" zoomScale="80" zoomScaleNormal="70" zoomScaleSheetLayoutView="80" workbookViewId="0">
      <selection activeCell="B50" sqref="B50"/>
    </sheetView>
  </sheetViews>
  <sheetFormatPr defaultRowHeight="15.75"/>
  <cols>
    <col min="1" max="1" width="11" style="7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0" customWidth="1"/>
    <col min="8" max="8" width="16.75" style="6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>
      <c r="A1" s="292" t="s">
        <v>8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</row>
    <row r="2" spans="1:16" ht="15.75" customHeight="1">
      <c r="A2" s="291" t="s">
        <v>0</v>
      </c>
      <c r="B2" s="285" t="s">
        <v>2</v>
      </c>
      <c r="C2" s="287" t="s">
        <v>41</v>
      </c>
      <c r="D2" s="287"/>
      <c r="E2" s="287"/>
      <c r="F2" s="287"/>
      <c r="G2" s="287"/>
      <c r="H2" s="287"/>
      <c r="I2" s="287"/>
      <c r="J2" s="287" t="s">
        <v>42</v>
      </c>
      <c r="K2" s="287"/>
      <c r="L2" s="287"/>
      <c r="M2" s="287"/>
      <c r="N2" s="287"/>
      <c r="O2" s="287"/>
      <c r="P2" s="287"/>
    </row>
    <row r="3" spans="1:16" ht="45" customHeight="1">
      <c r="A3" s="291"/>
      <c r="B3" s="285"/>
      <c r="C3" s="288" t="s">
        <v>62</v>
      </c>
      <c r="D3" s="289"/>
      <c r="E3" s="289"/>
      <c r="F3" s="289"/>
      <c r="G3" s="289"/>
      <c r="H3" s="289"/>
      <c r="I3" s="290"/>
      <c r="J3" s="288" t="s">
        <v>62</v>
      </c>
      <c r="K3" s="289"/>
      <c r="L3" s="289"/>
      <c r="M3" s="289"/>
      <c r="N3" s="289"/>
      <c r="O3" s="289"/>
      <c r="P3" s="290"/>
    </row>
    <row r="4" spans="1:16" ht="33.75" customHeight="1">
      <c r="A4" s="291"/>
      <c r="B4" s="285"/>
      <c r="C4" s="285" t="s">
        <v>13</v>
      </c>
      <c r="D4" s="285"/>
      <c r="E4" s="285"/>
      <c r="F4" s="285"/>
      <c r="G4" s="285" t="s">
        <v>108</v>
      </c>
      <c r="H4" s="286"/>
      <c r="I4" s="286"/>
      <c r="J4" s="285" t="s">
        <v>13</v>
      </c>
      <c r="K4" s="285"/>
      <c r="L4" s="285"/>
      <c r="M4" s="285"/>
      <c r="N4" s="285" t="s">
        <v>108</v>
      </c>
      <c r="O4" s="286"/>
      <c r="P4" s="286"/>
    </row>
    <row r="5" spans="1:16" s="9" customFormat="1" ht="63">
      <c r="A5" s="291"/>
      <c r="B5" s="285"/>
      <c r="C5" s="71" t="s">
        <v>25</v>
      </c>
      <c r="D5" s="71" t="s">
        <v>9</v>
      </c>
      <c r="E5" s="71" t="s">
        <v>100</v>
      </c>
      <c r="F5" s="71" t="s">
        <v>11</v>
      </c>
      <c r="G5" s="71" t="s">
        <v>14</v>
      </c>
      <c r="H5" s="71" t="s">
        <v>48</v>
      </c>
      <c r="I5" s="13" t="s">
        <v>49</v>
      </c>
      <c r="J5" s="71" t="s">
        <v>25</v>
      </c>
      <c r="K5" s="71" t="s">
        <v>9</v>
      </c>
      <c r="L5" s="71" t="s">
        <v>100</v>
      </c>
      <c r="M5" s="71" t="s">
        <v>11</v>
      </c>
      <c r="N5" s="71" t="s">
        <v>14</v>
      </c>
      <c r="O5" s="71" t="s">
        <v>50</v>
      </c>
      <c r="P5" s="13" t="s">
        <v>49</v>
      </c>
    </row>
    <row r="6" spans="1:16" s="12" customFormat="1">
      <c r="A6" s="75">
        <v>1</v>
      </c>
      <c r="B6" s="71">
        <v>2</v>
      </c>
      <c r="C6" s="71">
        <v>3</v>
      </c>
      <c r="D6" s="71">
        <v>4</v>
      </c>
      <c r="E6" s="71">
        <v>5</v>
      </c>
      <c r="F6" s="71">
        <v>6</v>
      </c>
      <c r="G6" s="71">
        <v>7</v>
      </c>
      <c r="H6" s="71">
        <v>8</v>
      </c>
      <c r="I6" s="13">
        <v>9</v>
      </c>
      <c r="J6" s="71">
        <v>10</v>
      </c>
      <c r="K6" s="13">
        <v>11</v>
      </c>
      <c r="L6" s="71">
        <v>12</v>
      </c>
      <c r="M6" s="13">
        <v>13</v>
      </c>
      <c r="N6" s="71">
        <v>14</v>
      </c>
      <c r="O6" s="13">
        <v>15</v>
      </c>
      <c r="P6" s="71">
        <v>16</v>
      </c>
    </row>
    <row r="7" spans="1:16" s="19" customFormat="1" ht="56.25" customHeight="1">
      <c r="A7" s="76">
        <v>1</v>
      </c>
      <c r="B7" s="15" t="s">
        <v>110</v>
      </c>
      <c r="C7" s="71" t="s">
        <v>107</v>
      </c>
      <c r="D7" s="71" t="s">
        <v>107</v>
      </c>
      <c r="E7" s="71" t="s">
        <v>107</v>
      </c>
      <c r="F7" s="71" t="s">
        <v>107</v>
      </c>
      <c r="G7" s="71" t="s">
        <v>107</v>
      </c>
      <c r="H7" s="71" t="s">
        <v>107</v>
      </c>
      <c r="I7" s="71" t="s">
        <v>107</v>
      </c>
      <c r="J7" s="71" t="s">
        <v>107</v>
      </c>
      <c r="K7" s="71" t="s">
        <v>107</v>
      </c>
      <c r="L7" s="71" t="s">
        <v>107</v>
      </c>
      <c r="M7" s="71" t="s">
        <v>107</v>
      </c>
      <c r="N7" s="71" t="s">
        <v>107</v>
      </c>
      <c r="O7" s="71" t="s">
        <v>107</v>
      </c>
      <c r="P7" s="71" t="s">
        <v>107</v>
      </c>
    </row>
    <row r="8" spans="1:16" s="19" customFormat="1" ht="56.25" customHeight="1">
      <c r="A8" s="174"/>
      <c r="B8" s="262" t="s">
        <v>359</v>
      </c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</row>
    <row r="9" spans="1:16" s="19" customFormat="1" ht="94.5">
      <c r="A9" s="76"/>
      <c r="B9" s="15" t="s">
        <v>454</v>
      </c>
      <c r="C9" s="71"/>
      <c r="D9" s="71" t="s">
        <v>455</v>
      </c>
      <c r="E9" s="71">
        <v>1</v>
      </c>
      <c r="F9" s="71" t="s">
        <v>456</v>
      </c>
      <c r="G9" s="16" t="s">
        <v>457</v>
      </c>
      <c r="H9" s="256">
        <f>800*1.01*1.05*1.051+6890*0.05*1.05*1.051</f>
        <v>1271.841375</v>
      </c>
      <c r="I9" s="13">
        <v>1272.49</v>
      </c>
      <c r="J9" s="71"/>
      <c r="K9" s="71" t="s">
        <v>24</v>
      </c>
      <c r="L9" s="71"/>
      <c r="M9" s="71" t="s">
        <v>17</v>
      </c>
      <c r="N9" s="16" t="s">
        <v>36</v>
      </c>
      <c r="O9" s="21"/>
      <c r="P9" s="11"/>
    </row>
    <row r="10" spans="1:16" s="19" customFormat="1" ht="42" customHeight="1">
      <c r="A10" s="99"/>
      <c r="B10" s="257" t="s">
        <v>458</v>
      </c>
      <c r="C10" s="98"/>
      <c r="D10" s="175" t="s">
        <v>455</v>
      </c>
      <c r="E10" s="175">
        <v>1</v>
      </c>
      <c r="F10" s="175" t="s">
        <v>456</v>
      </c>
      <c r="G10" s="16" t="s">
        <v>457</v>
      </c>
      <c r="H10" s="256">
        <f t="shared" ref="H10:H14" si="0">800*1.01*1.05*1.051+6890*0.05*1.05*1.051</f>
        <v>1271.841375</v>
      </c>
      <c r="I10" s="13">
        <v>1272.49</v>
      </c>
      <c r="J10" s="98"/>
      <c r="K10" s="98"/>
      <c r="L10" s="98"/>
      <c r="M10" s="98"/>
      <c r="N10" s="16"/>
      <c r="O10" s="21"/>
      <c r="P10" s="11"/>
    </row>
    <row r="11" spans="1:16" s="19" customFormat="1" ht="31.5">
      <c r="A11" s="174"/>
      <c r="B11" s="257" t="s">
        <v>460</v>
      </c>
      <c r="C11" s="175"/>
      <c r="D11" s="175" t="s">
        <v>455</v>
      </c>
      <c r="E11" s="175">
        <v>1</v>
      </c>
      <c r="F11" s="175" t="s">
        <v>456</v>
      </c>
      <c r="G11" s="16" t="s">
        <v>457</v>
      </c>
      <c r="H11" s="256">
        <f t="shared" si="0"/>
        <v>1271.841375</v>
      </c>
      <c r="I11" s="13">
        <v>1272.49</v>
      </c>
      <c r="J11" s="175"/>
      <c r="K11" s="175"/>
      <c r="L11" s="175"/>
      <c r="M11" s="175"/>
      <c r="N11" s="16"/>
      <c r="O11" s="21"/>
      <c r="P11" s="11"/>
    </row>
    <row r="12" spans="1:16" s="19" customFormat="1" ht="31.5">
      <c r="A12" s="174"/>
      <c r="B12" s="257" t="s">
        <v>461</v>
      </c>
      <c r="C12" s="175"/>
      <c r="D12" s="175" t="s">
        <v>455</v>
      </c>
      <c r="E12" s="175">
        <v>1</v>
      </c>
      <c r="F12" s="175" t="s">
        <v>456</v>
      </c>
      <c r="G12" s="16" t="s">
        <v>457</v>
      </c>
      <c r="H12" s="256">
        <f t="shared" si="0"/>
        <v>1271.841375</v>
      </c>
      <c r="I12" s="13">
        <v>1272.49</v>
      </c>
      <c r="J12" s="175"/>
      <c r="K12" s="175"/>
      <c r="L12" s="175"/>
      <c r="M12" s="175"/>
      <c r="N12" s="16"/>
      <c r="O12" s="21"/>
      <c r="P12" s="11"/>
    </row>
    <row r="13" spans="1:16" s="19" customFormat="1" ht="31.5">
      <c r="A13" s="174"/>
      <c r="B13" s="257" t="s">
        <v>462</v>
      </c>
      <c r="C13" s="175"/>
      <c r="D13" s="175" t="s">
        <v>455</v>
      </c>
      <c r="E13" s="175">
        <v>1</v>
      </c>
      <c r="F13" s="175" t="s">
        <v>456</v>
      </c>
      <c r="G13" s="16" t="s">
        <v>457</v>
      </c>
      <c r="H13" s="256">
        <f t="shared" si="0"/>
        <v>1271.841375</v>
      </c>
      <c r="I13" s="13">
        <v>1272.49</v>
      </c>
      <c r="J13" s="175"/>
      <c r="K13" s="175"/>
      <c r="L13" s="175"/>
      <c r="M13" s="175"/>
      <c r="N13" s="16"/>
      <c r="O13" s="21"/>
      <c r="P13" s="11"/>
    </row>
    <row r="14" spans="1:16" s="19" customFormat="1" ht="35.25" customHeight="1">
      <c r="A14" s="174"/>
      <c r="B14" s="257" t="s">
        <v>463</v>
      </c>
      <c r="C14" s="175"/>
      <c r="D14" s="175" t="s">
        <v>455</v>
      </c>
      <c r="E14" s="175">
        <v>1</v>
      </c>
      <c r="F14" s="175" t="s">
        <v>456</v>
      </c>
      <c r="G14" s="16" t="s">
        <v>457</v>
      </c>
      <c r="H14" s="256">
        <f t="shared" si="0"/>
        <v>1271.841375</v>
      </c>
      <c r="I14" s="13">
        <v>1272.49</v>
      </c>
      <c r="J14" s="175"/>
      <c r="K14" s="175"/>
      <c r="L14" s="175"/>
      <c r="M14" s="175"/>
      <c r="N14" s="16"/>
      <c r="O14" s="21"/>
      <c r="P14" s="11"/>
    </row>
    <row r="15" spans="1:16" s="19" customFormat="1" ht="36" customHeight="1">
      <c r="A15" s="174"/>
      <c r="B15" s="257" t="s">
        <v>464</v>
      </c>
      <c r="C15" s="175"/>
      <c r="D15" s="175" t="s">
        <v>455</v>
      </c>
      <c r="E15" s="175">
        <v>1</v>
      </c>
      <c r="F15" s="175" t="s">
        <v>456</v>
      </c>
      <c r="G15" s="16" t="s">
        <v>457</v>
      </c>
      <c r="H15" s="256">
        <f>800*1.01*1.05*1.051+6890*0.05*1.05*1.051</f>
        <v>1271.841375</v>
      </c>
      <c r="I15" s="13">
        <v>1272.49</v>
      </c>
      <c r="J15" s="175"/>
      <c r="K15" s="175"/>
      <c r="L15" s="175"/>
      <c r="M15" s="175"/>
      <c r="N15" s="16"/>
      <c r="O15" s="21"/>
      <c r="P15" s="11"/>
    </row>
    <row r="16" spans="1:16" s="19" customFormat="1" ht="31.5">
      <c r="A16" s="99"/>
      <c r="B16" s="258" t="s">
        <v>467</v>
      </c>
      <c r="C16" s="98"/>
      <c r="D16" s="175" t="s">
        <v>465</v>
      </c>
      <c r="E16" s="98">
        <v>1</v>
      </c>
      <c r="F16" s="175" t="s">
        <v>456</v>
      </c>
      <c r="G16" s="16" t="s">
        <v>466</v>
      </c>
      <c r="H16" s="256">
        <f>2824*1.01*1.05*1.051+6890*0.055*1.05*1.051</f>
        <v>3565.7797245000002</v>
      </c>
      <c r="I16" s="259">
        <v>3537.79</v>
      </c>
      <c r="J16" s="98"/>
      <c r="K16" s="98"/>
      <c r="L16" s="98"/>
      <c r="M16" s="98"/>
      <c r="N16" s="16"/>
      <c r="O16" s="21"/>
      <c r="P16" s="11"/>
    </row>
    <row r="17" spans="1:16" s="19" customFormat="1" ht="66" customHeight="1">
      <c r="A17" s="99"/>
      <c r="B17" s="260" t="s">
        <v>468</v>
      </c>
      <c r="C17" s="98"/>
      <c r="D17" s="175" t="s">
        <v>465</v>
      </c>
      <c r="E17" s="175">
        <v>1</v>
      </c>
      <c r="F17" s="175" t="s">
        <v>456</v>
      </c>
      <c r="G17" s="16" t="s">
        <v>466</v>
      </c>
      <c r="H17" s="256">
        <f>2824*1.01*1.05*1.051+H23</f>
        <v>4787.8225229099999</v>
      </c>
      <c r="I17" s="259">
        <v>3537.79</v>
      </c>
      <c r="J17" s="98"/>
      <c r="K17" s="98"/>
      <c r="L17" s="98"/>
      <c r="M17" s="98"/>
      <c r="N17" s="16"/>
      <c r="O17" s="21"/>
      <c r="P17" s="11"/>
    </row>
    <row r="18" spans="1:16" s="19" customFormat="1" ht="64.5" customHeight="1">
      <c r="A18" s="174"/>
      <c r="B18" s="260" t="s">
        <v>469</v>
      </c>
      <c r="C18" s="175"/>
      <c r="D18" s="175" t="s">
        <v>465</v>
      </c>
      <c r="E18" s="175">
        <v>1</v>
      </c>
      <c r="F18" s="175" t="s">
        <v>456</v>
      </c>
      <c r="G18" s="16" t="s">
        <v>466</v>
      </c>
      <c r="H18" s="256">
        <f>2824*1.01*1.05*1.051+6890*0.055*1.05*1.051</f>
        <v>3565.7797245000002</v>
      </c>
      <c r="I18" s="259">
        <v>3537.79</v>
      </c>
      <c r="J18" s="175"/>
      <c r="K18" s="175"/>
      <c r="L18" s="175"/>
      <c r="M18" s="175"/>
      <c r="N18" s="16"/>
      <c r="O18" s="21"/>
      <c r="P18" s="11"/>
    </row>
    <row r="19" spans="1:16" s="19" customFormat="1" ht="33.75" customHeight="1">
      <c r="A19" s="174"/>
      <c r="B19" s="260" t="s">
        <v>470</v>
      </c>
      <c r="C19" s="175"/>
      <c r="D19" s="175" t="s">
        <v>471</v>
      </c>
      <c r="E19" s="175">
        <v>1</v>
      </c>
      <c r="F19" s="175" t="s">
        <v>456</v>
      </c>
      <c r="G19" s="16" t="s">
        <v>472</v>
      </c>
      <c r="H19" s="255">
        <f>7166*1.01*1.05*1.051</f>
        <v>7987.1196930000006</v>
      </c>
      <c r="I19" s="261">
        <v>6832.0969999999998</v>
      </c>
      <c r="J19" s="175"/>
      <c r="K19" s="175"/>
      <c r="L19" s="175"/>
      <c r="M19" s="175"/>
      <c r="N19" s="16"/>
      <c r="O19" s="21"/>
      <c r="P19" s="11"/>
    </row>
    <row r="20" spans="1:16" s="19" customFormat="1" ht="164.25" customHeight="1">
      <c r="A20" s="174"/>
      <c r="B20" s="272" t="s">
        <v>473</v>
      </c>
      <c r="C20" s="175"/>
      <c r="D20" s="175" t="s">
        <v>493</v>
      </c>
      <c r="E20" s="175">
        <v>10</v>
      </c>
      <c r="F20" s="175" t="s">
        <v>456</v>
      </c>
      <c r="G20" s="16" t="s">
        <v>494</v>
      </c>
      <c r="H20" s="21">
        <f>(800+1025+2153+2728+2824+2944+2824+2944+2728+7166)*1.01*1.05*1.051+6890*0.5*1.05*1.051</f>
        <v>35161.707377999999</v>
      </c>
      <c r="I20" s="270">
        <v>33223.5</v>
      </c>
      <c r="J20" s="175"/>
      <c r="K20" s="175"/>
      <c r="L20" s="175"/>
      <c r="M20" s="175"/>
      <c r="N20" s="16"/>
      <c r="O20" s="21"/>
      <c r="P20" s="11"/>
    </row>
    <row r="21" spans="1:16" s="19" customFormat="1" ht="63.75">
      <c r="A21" s="174"/>
      <c r="B21" s="272" t="s">
        <v>474</v>
      </c>
      <c r="C21" s="175"/>
      <c r="D21" s="175" t="s">
        <v>495</v>
      </c>
      <c r="E21" s="175">
        <v>2</v>
      </c>
      <c r="F21" s="175" t="s">
        <v>456</v>
      </c>
      <c r="G21" s="16" t="s">
        <v>496</v>
      </c>
      <c r="H21" s="256">
        <f>(2944+7166)*1.01*1.05*1.051</f>
        <v>11268.459405</v>
      </c>
      <c r="I21" s="13">
        <v>10062</v>
      </c>
      <c r="J21" s="175"/>
      <c r="K21" s="175"/>
      <c r="L21" s="175"/>
      <c r="M21" s="175"/>
      <c r="N21" s="16"/>
      <c r="O21" s="21"/>
      <c r="P21" s="11"/>
    </row>
    <row r="22" spans="1:16" s="19" customFormat="1">
      <c r="A22" s="174"/>
      <c r="B22" s="262" t="s">
        <v>186</v>
      </c>
      <c r="C22" s="175"/>
      <c r="D22" s="175"/>
      <c r="E22" s="175"/>
      <c r="F22" s="175"/>
      <c r="G22" s="16"/>
      <c r="H22" s="21"/>
      <c r="I22" s="11"/>
      <c r="J22" s="175"/>
      <c r="K22" s="175"/>
      <c r="L22" s="175"/>
      <c r="M22" s="175"/>
      <c r="N22" s="16"/>
      <c r="O22" s="21"/>
      <c r="P22" s="11"/>
    </row>
    <row r="23" spans="1:16" s="19" customFormat="1" ht="31.5">
      <c r="A23" s="174"/>
      <c r="B23" s="263" t="s">
        <v>475</v>
      </c>
      <c r="C23" s="175"/>
      <c r="D23" s="175" t="s">
        <v>476</v>
      </c>
      <c r="E23" s="175">
        <v>1</v>
      </c>
      <c r="F23" s="175" t="s">
        <v>456</v>
      </c>
      <c r="G23" s="16" t="s">
        <v>466</v>
      </c>
      <c r="H23" s="256">
        <f>1025*1.01*1.05*1.051*1.051+6890*0.055*1.05*1.051*1.051</f>
        <v>1640.2330709099999</v>
      </c>
      <c r="I23" s="13">
        <v>1514</v>
      </c>
      <c r="J23" s="175"/>
      <c r="K23" s="175"/>
      <c r="L23" s="175"/>
      <c r="M23" s="175"/>
      <c r="N23" s="16"/>
      <c r="O23" s="21"/>
      <c r="P23" s="11"/>
    </row>
    <row r="24" spans="1:16" s="19" customFormat="1" ht="35.25" customHeight="1">
      <c r="A24" s="174"/>
      <c r="B24" s="257" t="s">
        <v>477</v>
      </c>
      <c r="C24" s="175"/>
      <c r="D24" s="175" t="s">
        <v>455</v>
      </c>
      <c r="E24" s="175">
        <v>1</v>
      </c>
      <c r="F24" s="175" t="s">
        <v>456</v>
      </c>
      <c r="G24" s="16" t="s">
        <v>457</v>
      </c>
      <c r="H24" s="256">
        <f>800*1.01*1.05*1.051*1.051+6890*0.05*1.05*1.051*1.051</f>
        <v>1336.7052851249998</v>
      </c>
      <c r="I24" s="13">
        <v>1337</v>
      </c>
      <c r="J24" s="175"/>
      <c r="K24" s="175"/>
      <c r="L24" s="175"/>
      <c r="M24" s="175"/>
      <c r="N24" s="16"/>
      <c r="O24" s="21"/>
      <c r="P24" s="11"/>
    </row>
    <row r="25" spans="1:16" s="19" customFormat="1" ht="33.75" customHeight="1">
      <c r="A25" s="174"/>
      <c r="B25" s="257" t="s">
        <v>478</v>
      </c>
      <c r="C25" s="175"/>
      <c r="D25" s="175" t="s">
        <v>455</v>
      </c>
      <c r="E25" s="175">
        <v>1</v>
      </c>
      <c r="F25" s="175" t="s">
        <v>456</v>
      </c>
      <c r="G25" s="16" t="s">
        <v>457</v>
      </c>
      <c r="H25" s="256">
        <f t="shared" ref="H25:H26" si="1">800*1.01*1.05*1.051*1.051+6890*0.05*1.05*1.051*1.051</f>
        <v>1336.7052851249998</v>
      </c>
      <c r="I25" s="13">
        <v>1337</v>
      </c>
      <c r="J25" s="175"/>
      <c r="K25" s="175"/>
      <c r="L25" s="175"/>
      <c r="M25" s="175"/>
      <c r="N25" s="16"/>
      <c r="O25" s="21"/>
      <c r="P25" s="11"/>
    </row>
    <row r="26" spans="1:16" s="19" customFormat="1" ht="44.25" customHeight="1" thickBot="1">
      <c r="A26" s="174"/>
      <c r="B26" s="257" t="s">
        <v>479</v>
      </c>
      <c r="C26" s="175"/>
      <c r="D26" s="175" t="s">
        <v>455</v>
      </c>
      <c r="E26" s="175">
        <v>1</v>
      </c>
      <c r="F26" s="175" t="s">
        <v>456</v>
      </c>
      <c r="G26" s="16" t="s">
        <v>457</v>
      </c>
      <c r="H26" s="256">
        <f t="shared" si="1"/>
        <v>1336.7052851249998</v>
      </c>
      <c r="I26" s="13">
        <v>1337</v>
      </c>
      <c r="J26" s="175"/>
      <c r="K26" s="175"/>
      <c r="L26" s="175"/>
      <c r="M26" s="175"/>
      <c r="N26" s="16"/>
      <c r="O26" s="21"/>
      <c r="P26" s="11"/>
    </row>
    <row r="27" spans="1:16" s="19" customFormat="1" ht="37.5" customHeight="1" thickTop="1">
      <c r="A27" s="174"/>
      <c r="B27" s="264" t="s">
        <v>480</v>
      </c>
      <c r="C27" s="175"/>
      <c r="D27" s="175" t="s">
        <v>465</v>
      </c>
      <c r="E27" s="175">
        <v>1</v>
      </c>
      <c r="F27" s="175" t="s">
        <v>456</v>
      </c>
      <c r="G27" s="16" t="s">
        <v>466</v>
      </c>
      <c r="H27" s="256">
        <f>2824*1.01*1.05*1.051*1.051+6890*0.055*1.05*1.051*1.051</f>
        <v>3747.6344904494999</v>
      </c>
      <c r="I27" s="13">
        <v>3718</v>
      </c>
      <c r="J27" s="175"/>
      <c r="K27" s="175"/>
      <c r="L27" s="175"/>
      <c r="M27" s="175"/>
      <c r="N27" s="16"/>
      <c r="O27" s="21"/>
      <c r="P27" s="11"/>
    </row>
    <row r="28" spans="1:16" s="19" customFormat="1" ht="38.25">
      <c r="A28" s="174"/>
      <c r="B28" s="266" t="s">
        <v>481</v>
      </c>
      <c r="C28" s="175"/>
      <c r="D28" s="175" t="s">
        <v>476</v>
      </c>
      <c r="E28" s="175">
        <v>1</v>
      </c>
      <c r="F28" s="175" t="s">
        <v>456</v>
      </c>
      <c r="G28" s="16" t="s">
        <v>466</v>
      </c>
      <c r="H28" s="256">
        <f>1025*1.01*1.05*1.051*1.051+6890*0.045*1.05*1.051*1.051</f>
        <v>1560.3207115649998</v>
      </c>
      <c r="I28" s="267">
        <v>1514.43</v>
      </c>
      <c r="J28" s="175"/>
      <c r="K28" s="175"/>
      <c r="L28" s="175"/>
      <c r="M28" s="175"/>
      <c r="N28" s="16"/>
      <c r="O28" s="21"/>
      <c r="P28" s="11"/>
    </row>
    <row r="29" spans="1:16" s="19" customFormat="1" ht="81" customHeight="1">
      <c r="A29" s="174"/>
      <c r="B29" s="266" t="s">
        <v>482</v>
      </c>
      <c r="C29" s="175"/>
      <c r="D29" s="175" t="s">
        <v>455</v>
      </c>
      <c r="E29" s="175">
        <v>1</v>
      </c>
      <c r="F29" s="175" t="s">
        <v>456</v>
      </c>
      <c r="G29" s="16" t="s">
        <v>457</v>
      </c>
      <c r="H29" s="256">
        <f>800*1.01*1.05*1.051*1.051+6890*0.05*1.05*1.051*1.051</f>
        <v>1336.7052851249998</v>
      </c>
      <c r="I29" s="13">
        <v>1337</v>
      </c>
      <c r="J29" s="175"/>
      <c r="K29" s="175"/>
      <c r="L29" s="175"/>
      <c r="M29" s="175"/>
      <c r="N29" s="16"/>
      <c r="O29" s="21"/>
      <c r="P29" s="11"/>
    </row>
    <row r="30" spans="1:16" s="19" customFormat="1" ht="157.5">
      <c r="A30" s="174"/>
      <c r="B30" s="272" t="s">
        <v>473</v>
      </c>
      <c r="C30" s="175"/>
      <c r="D30" s="175" t="s">
        <v>493</v>
      </c>
      <c r="E30" s="175">
        <v>10</v>
      </c>
      <c r="F30" s="175" t="s">
        <v>456</v>
      </c>
      <c r="G30" s="16" t="s">
        <v>494</v>
      </c>
      <c r="H30" s="256">
        <f>(800+1025+2153+2728+2824+2944+2824+2944+2728+7166)*1.01*1.05*1.051*1.051+6890*0.5*1.05*1.051*1.051</f>
        <v>36954.954454277999</v>
      </c>
      <c r="I30" s="13">
        <v>34917.599999999999</v>
      </c>
      <c r="J30" s="175"/>
      <c r="K30" s="175"/>
      <c r="L30" s="175"/>
      <c r="M30" s="175"/>
      <c r="N30" s="16"/>
      <c r="O30" s="21"/>
      <c r="P30" s="11"/>
    </row>
    <row r="31" spans="1:16" s="19" customFormat="1" ht="63.75">
      <c r="A31" s="174"/>
      <c r="B31" s="272" t="s">
        <v>474</v>
      </c>
      <c r="C31" s="175"/>
      <c r="D31" s="175" t="s">
        <v>495</v>
      </c>
      <c r="E31" s="175">
        <v>2</v>
      </c>
      <c r="F31" s="175" t="s">
        <v>456</v>
      </c>
      <c r="G31" s="16" t="s">
        <v>496</v>
      </c>
      <c r="H31" s="256">
        <f>(2944+7166)*1.01*1.05*1.051*1.051</f>
        <v>11843.150834654998</v>
      </c>
      <c r="I31" s="13">
        <v>10575</v>
      </c>
      <c r="J31" s="175"/>
      <c r="K31" s="175"/>
      <c r="L31" s="175"/>
      <c r="M31" s="175"/>
      <c r="N31" s="16"/>
      <c r="O31" s="21"/>
      <c r="P31" s="11"/>
    </row>
    <row r="32" spans="1:16" s="19" customFormat="1" ht="16.5" thickBot="1">
      <c r="A32" s="99"/>
      <c r="B32" s="262" t="s">
        <v>213</v>
      </c>
      <c r="C32" s="98"/>
      <c r="D32" s="98"/>
      <c r="E32" s="98"/>
      <c r="F32" s="98"/>
      <c r="G32" s="16"/>
      <c r="H32" s="21"/>
      <c r="I32" s="11"/>
      <c r="J32" s="98"/>
      <c r="K32" s="98"/>
      <c r="L32" s="98"/>
      <c r="M32" s="98"/>
      <c r="N32" s="16"/>
      <c r="O32" s="21"/>
      <c r="P32" s="11"/>
    </row>
    <row r="33" spans="1:16" s="19" customFormat="1" ht="33" thickTop="1" thickBot="1">
      <c r="A33" s="174"/>
      <c r="B33" s="268" t="s">
        <v>483</v>
      </c>
      <c r="C33" s="175"/>
      <c r="D33" s="175" t="s">
        <v>455</v>
      </c>
      <c r="E33" s="175">
        <v>1</v>
      </c>
      <c r="F33" s="175" t="s">
        <v>456</v>
      </c>
      <c r="G33" s="16" t="s">
        <v>457</v>
      </c>
      <c r="H33" s="256">
        <f>800*1.01*1.05*1.051*1.051*1.054+6890*0.05*1.05*1.051*1.051*1.054</f>
        <v>1408.88737052175</v>
      </c>
      <c r="I33" s="13">
        <v>1409</v>
      </c>
      <c r="J33" s="175"/>
      <c r="K33" s="175"/>
      <c r="L33" s="175"/>
      <c r="M33" s="175"/>
      <c r="N33" s="16"/>
      <c r="O33" s="21"/>
      <c r="P33" s="11"/>
    </row>
    <row r="34" spans="1:16" s="19" customFormat="1" ht="32.25" thickTop="1">
      <c r="A34" s="174"/>
      <c r="B34" s="268" t="s">
        <v>484</v>
      </c>
      <c r="C34" s="175"/>
      <c r="D34" s="175" t="s">
        <v>455</v>
      </c>
      <c r="E34" s="175">
        <v>1</v>
      </c>
      <c r="F34" s="175" t="s">
        <v>456</v>
      </c>
      <c r="G34" s="16" t="s">
        <v>457</v>
      </c>
      <c r="H34" s="256">
        <f>800*1.01*1.05*1.051*1.051*1.054+6890*0.05*1.05*1.051*1.051*1.054</f>
        <v>1408.88737052175</v>
      </c>
      <c r="I34" s="13">
        <v>1409</v>
      </c>
      <c r="J34" s="175"/>
      <c r="K34" s="175"/>
      <c r="L34" s="175"/>
      <c r="M34" s="175"/>
      <c r="N34" s="16"/>
      <c r="O34" s="21"/>
      <c r="P34" s="11"/>
    </row>
    <row r="35" spans="1:16" s="19" customFormat="1" ht="31.5">
      <c r="A35" s="174"/>
      <c r="B35" s="266" t="s">
        <v>485</v>
      </c>
      <c r="C35" s="175"/>
      <c r="D35" s="175" t="s">
        <v>476</v>
      </c>
      <c r="E35" s="175">
        <v>1</v>
      </c>
      <c r="F35" s="175" t="s">
        <v>456</v>
      </c>
      <c r="G35" s="16" t="s">
        <v>466</v>
      </c>
      <c r="H35" s="256">
        <f>1025*1.01*1.05*1.051*1.051*1.054+6890*0.045*1.05*1.051*1.051*1.054</f>
        <v>1644.57802998951</v>
      </c>
      <c r="I35" s="13">
        <v>1514</v>
      </c>
      <c r="J35" s="175"/>
      <c r="K35" s="175"/>
      <c r="L35" s="175"/>
      <c r="M35" s="175"/>
      <c r="N35" s="16"/>
      <c r="O35" s="21"/>
      <c r="P35" s="11"/>
    </row>
    <row r="36" spans="1:16" s="19" customFormat="1" ht="31.5">
      <c r="A36" s="174"/>
      <c r="B36" s="257" t="s">
        <v>486</v>
      </c>
      <c r="C36" s="175"/>
      <c r="D36" s="175" t="s">
        <v>455</v>
      </c>
      <c r="E36" s="175">
        <v>1</v>
      </c>
      <c r="F36" s="175" t="s">
        <v>456</v>
      </c>
      <c r="G36" s="16" t="s">
        <v>457</v>
      </c>
      <c r="H36" s="256">
        <f>800*1.01*1.05*1.051*1.051*1.054+6890*0.05*1.05*1.051*1.051*1.054</f>
        <v>1408.88737052175</v>
      </c>
      <c r="I36" s="13">
        <v>1409</v>
      </c>
      <c r="J36" s="175"/>
      <c r="K36" s="175"/>
      <c r="L36" s="175"/>
      <c r="M36" s="175"/>
      <c r="N36" s="16"/>
      <c r="O36" s="21"/>
      <c r="P36" s="11"/>
    </row>
    <row r="37" spans="1:16" s="19" customFormat="1" ht="31.5">
      <c r="A37" s="174"/>
      <c r="B37" s="269" t="s">
        <v>487</v>
      </c>
      <c r="C37" s="175"/>
      <c r="D37" s="175" t="s">
        <v>455</v>
      </c>
      <c r="E37" s="175">
        <v>1</v>
      </c>
      <c r="F37" s="175" t="s">
        <v>456</v>
      </c>
      <c r="G37" s="16" t="s">
        <v>457</v>
      </c>
      <c r="H37" s="256">
        <f>800*1.01*1.05*1.051*1.051*1.054+6890*0.05*1.05*1.051*1.051*1.054</f>
        <v>1408.88737052175</v>
      </c>
      <c r="I37" s="13">
        <v>1409</v>
      </c>
      <c r="J37" s="175"/>
      <c r="K37" s="175"/>
      <c r="L37" s="175"/>
      <c r="M37" s="175"/>
      <c r="N37" s="16"/>
      <c r="O37" s="21"/>
      <c r="P37" s="11"/>
    </row>
    <row r="38" spans="1:16" s="19" customFormat="1" ht="38.25">
      <c r="A38" s="174"/>
      <c r="B38" s="266" t="s">
        <v>488</v>
      </c>
      <c r="C38" s="175"/>
      <c r="D38" s="175" t="s">
        <v>476</v>
      </c>
      <c r="E38" s="175">
        <v>1</v>
      </c>
      <c r="F38" s="175" t="s">
        <v>456</v>
      </c>
      <c r="G38" s="16" t="s">
        <v>466</v>
      </c>
      <c r="H38" s="256">
        <f>1025*1.01*1.05*1.051*1.051*1.054+6890*0.045*1.05*1.051*1.051*1.054</f>
        <v>1644.57802998951</v>
      </c>
      <c r="I38" s="270">
        <v>1596.21</v>
      </c>
      <c r="J38" s="175"/>
      <c r="K38" s="175"/>
      <c r="L38" s="175"/>
      <c r="M38" s="175"/>
      <c r="N38" s="16"/>
      <c r="O38" s="21"/>
      <c r="P38" s="11"/>
    </row>
    <row r="39" spans="1:16" s="19" customFormat="1" ht="157.5">
      <c r="A39" s="174"/>
      <c r="B39" s="272" t="s">
        <v>473</v>
      </c>
      <c r="C39" s="175"/>
      <c r="D39" s="175" t="s">
        <v>493</v>
      </c>
      <c r="E39" s="175">
        <v>10</v>
      </c>
      <c r="F39" s="175" t="s">
        <v>456</v>
      </c>
      <c r="G39" s="16" t="s">
        <v>494</v>
      </c>
      <c r="H39" s="256">
        <f>(800+1025+2153+2728+2824+2944+2824+2944+2728+7166)*1.01*1.05*1.051*1.051*1.054+6890*0.5*1.05*1.051*1.051*1.054</f>
        <v>38950.521994809009</v>
      </c>
      <c r="I39" s="13">
        <v>36663.599999999999</v>
      </c>
      <c r="J39" s="175"/>
      <c r="K39" s="175"/>
      <c r="L39" s="175"/>
      <c r="M39" s="175"/>
      <c r="N39" s="16"/>
      <c r="O39" s="21"/>
      <c r="P39" s="11"/>
    </row>
    <row r="40" spans="1:16" s="19" customFormat="1" ht="63.75">
      <c r="A40" s="174"/>
      <c r="B40" s="272" t="s">
        <v>474</v>
      </c>
      <c r="C40" s="175"/>
      <c r="D40" s="175" t="s">
        <v>495</v>
      </c>
      <c r="E40" s="175">
        <v>2</v>
      </c>
      <c r="F40" s="175" t="s">
        <v>456</v>
      </c>
      <c r="G40" s="16" t="s">
        <v>496</v>
      </c>
      <c r="H40" s="256">
        <f>(2944+7166)*1.01*1.05*1.051*1.051*1.054</f>
        <v>12482.680979726369</v>
      </c>
      <c r="I40" s="13">
        <v>11103.800000000001</v>
      </c>
      <c r="J40" s="175"/>
      <c r="K40" s="175"/>
      <c r="L40" s="175"/>
      <c r="M40" s="175"/>
      <c r="N40" s="16"/>
      <c r="O40" s="21"/>
      <c r="P40" s="11"/>
    </row>
    <row r="41" spans="1:16" s="19" customFormat="1">
      <c r="A41" s="174"/>
      <c r="B41" s="262" t="s">
        <v>243</v>
      </c>
      <c r="C41" s="175"/>
      <c r="D41" s="175"/>
      <c r="E41" s="175"/>
      <c r="F41" s="175"/>
      <c r="G41" s="16"/>
      <c r="H41" s="21"/>
      <c r="I41" s="11"/>
      <c r="J41" s="175"/>
      <c r="K41" s="175"/>
      <c r="L41" s="175"/>
      <c r="M41" s="175"/>
      <c r="N41" s="16"/>
      <c r="O41" s="21"/>
      <c r="P41" s="11"/>
    </row>
    <row r="42" spans="1:16" s="19" customFormat="1" ht="36" customHeight="1">
      <c r="A42" s="174"/>
      <c r="B42" s="257" t="s">
        <v>489</v>
      </c>
      <c r="C42" s="175"/>
      <c r="D42" s="175" t="s">
        <v>455</v>
      </c>
      <c r="E42" s="175">
        <v>1</v>
      </c>
      <c r="F42" s="175" t="s">
        <v>456</v>
      </c>
      <c r="G42" s="16" t="s">
        <v>457</v>
      </c>
      <c r="H42" s="256">
        <f>800*1.01*1.05*1.051*1.051*1.054*1.049+6890*0.055*1.05*1.051*1.051*1.054+1.049</f>
        <v>1500.4498964984712</v>
      </c>
      <c r="I42" s="271">
        <v>1479</v>
      </c>
      <c r="J42" s="175"/>
      <c r="K42" s="175"/>
      <c r="L42" s="175"/>
      <c r="M42" s="175"/>
      <c r="N42" s="16"/>
      <c r="O42" s="21"/>
      <c r="P42" s="11"/>
    </row>
    <row r="43" spans="1:16" s="19" customFormat="1" ht="39" customHeight="1">
      <c r="A43" s="174"/>
      <c r="B43" s="257" t="s">
        <v>459</v>
      </c>
      <c r="C43" s="175"/>
      <c r="D43" s="175" t="s">
        <v>455</v>
      </c>
      <c r="E43" s="175">
        <v>1</v>
      </c>
      <c r="F43" s="175" t="s">
        <v>456</v>
      </c>
      <c r="G43" s="16" t="s">
        <v>457</v>
      </c>
      <c r="H43" s="256">
        <f>800*1.01*1.05*1.051*1.051*1.054*1.049+6890*0.055*1.05*1.051*1.051*1.054+1.049</f>
        <v>1500.4498964984712</v>
      </c>
      <c r="I43" s="271">
        <v>1479</v>
      </c>
      <c r="J43" s="175"/>
      <c r="K43" s="175"/>
      <c r="L43" s="175"/>
      <c r="M43" s="175"/>
      <c r="N43" s="16"/>
      <c r="O43" s="21"/>
      <c r="P43" s="11"/>
    </row>
    <row r="44" spans="1:16" s="19" customFormat="1" ht="41.25" customHeight="1">
      <c r="A44" s="174"/>
      <c r="B44" s="257" t="s">
        <v>490</v>
      </c>
      <c r="C44" s="175"/>
      <c r="D44" s="175" t="s">
        <v>455</v>
      </c>
      <c r="E44" s="175">
        <v>1</v>
      </c>
      <c r="F44" s="175" t="s">
        <v>456</v>
      </c>
      <c r="G44" s="16" t="s">
        <v>457</v>
      </c>
      <c r="H44" s="256">
        <f t="shared" ref="H44:H45" si="2">800*1.01*1.05*1.051*1.051*1.054*1.049+6890*0.055*1.05*1.051*1.051*1.054+1.049</f>
        <v>1500.4498964984712</v>
      </c>
      <c r="I44" s="271">
        <v>1479</v>
      </c>
      <c r="J44" s="175"/>
      <c r="K44" s="175"/>
      <c r="L44" s="175"/>
      <c r="M44" s="175"/>
      <c r="N44" s="16"/>
      <c r="O44" s="21"/>
      <c r="P44" s="11"/>
    </row>
    <row r="45" spans="1:16" s="19" customFormat="1" ht="31.5">
      <c r="A45" s="174"/>
      <c r="B45" s="272" t="s">
        <v>491</v>
      </c>
      <c r="C45" s="175"/>
      <c r="D45" s="175" t="s">
        <v>455</v>
      </c>
      <c r="E45" s="175">
        <v>1</v>
      </c>
      <c r="F45" s="175" t="s">
        <v>456</v>
      </c>
      <c r="G45" s="16" t="s">
        <v>457</v>
      </c>
      <c r="H45" s="256">
        <f t="shared" si="2"/>
        <v>1500.4498964984712</v>
      </c>
      <c r="I45" s="271">
        <v>1479</v>
      </c>
      <c r="J45" s="175"/>
      <c r="K45" s="175"/>
      <c r="L45" s="175"/>
      <c r="M45" s="175"/>
      <c r="N45" s="16"/>
      <c r="O45" s="21"/>
      <c r="P45" s="11"/>
    </row>
    <row r="46" spans="1:16" s="19" customFormat="1" ht="38.25">
      <c r="A46" s="174"/>
      <c r="B46" s="266" t="s">
        <v>492</v>
      </c>
      <c r="C46" s="175"/>
      <c r="D46" s="175" t="s">
        <v>476</v>
      </c>
      <c r="E46" s="175">
        <v>1</v>
      </c>
      <c r="F46" s="175" t="s">
        <v>456</v>
      </c>
      <c r="G46" s="16" t="s">
        <v>466</v>
      </c>
      <c r="H46" s="256">
        <f>1025*1.01*1.05*1.051*1.051*1.054*1.049+6890*0.045*1.05*1.051*1.051*1.054*1.049</f>
        <v>1725.1623534589958</v>
      </c>
      <c r="I46" s="13">
        <v>1674.42</v>
      </c>
      <c r="J46" s="175"/>
      <c r="K46" s="175"/>
      <c r="L46" s="175"/>
      <c r="M46" s="175"/>
      <c r="N46" s="16"/>
      <c r="O46" s="21"/>
      <c r="P46" s="11"/>
    </row>
    <row r="47" spans="1:16" s="19" customFormat="1" ht="111.75" customHeight="1">
      <c r="A47" s="174"/>
      <c r="B47" s="272" t="s">
        <v>473</v>
      </c>
      <c r="C47" s="175"/>
      <c r="D47" s="175" t="s">
        <v>493</v>
      </c>
      <c r="E47" s="175">
        <v>10</v>
      </c>
      <c r="F47" s="175" t="s">
        <v>456</v>
      </c>
      <c r="G47" s="16" t="s">
        <v>494</v>
      </c>
      <c r="H47" s="256">
        <f>(800+1025+2153+2728+2824+2944+2824+2944+2728+7166)*1.01*1.05*1.051*1.051*1.054*1.049+6890*0.5*1.05*1.051*1.051*1.054*1.049</f>
        <v>40859.097572554645</v>
      </c>
      <c r="I47" s="13">
        <v>38460</v>
      </c>
      <c r="J47" s="175"/>
      <c r="K47" s="175"/>
      <c r="L47" s="175"/>
      <c r="M47" s="175"/>
      <c r="N47" s="16"/>
      <c r="O47" s="21"/>
      <c r="P47" s="11"/>
    </row>
    <row r="48" spans="1:16" s="19" customFormat="1" ht="63.75">
      <c r="A48" s="174"/>
      <c r="B48" s="272" t="s">
        <v>474</v>
      </c>
      <c r="C48" s="175"/>
      <c r="D48" s="175" t="s">
        <v>495</v>
      </c>
      <c r="E48" s="175">
        <v>2</v>
      </c>
      <c r="F48" s="175" t="s">
        <v>456</v>
      </c>
      <c r="G48" s="16" t="s">
        <v>496</v>
      </c>
      <c r="H48" s="256">
        <f>(2944+7166)*1.01*1.05*1.051*1.051*1.054*1.049</f>
        <v>13094.33234773296</v>
      </c>
      <c r="I48" s="13">
        <v>11648</v>
      </c>
      <c r="J48" s="175"/>
      <c r="K48" s="175"/>
      <c r="L48" s="175"/>
      <c r="M48" s="175"/>
      <c r="N48" s="16"/>
      <c r="O48" s="21"/>
      <c r="P48" s="11"/>
    </row>
    <row r="49" spans="1:16" s="19" customFormat="1">
      <c r="A49" s="174"/>
      <c r="B49" s="274" t="s">
        <v>273</v>
      </c>
      <c r="C49" s="175"/>
      <c r="D49" s="175"/>
      <c r="E49" s="175"/>
      <c r="F49" s="175"/>
      <c r="G49" s="16"/>
      <c r="H49" s="256"/>
      <c r="I49" s="13"/>
      <c r="J49" s="175"/>
      <c r="K49" s="175"/>
      <c r="L49" s="175"/>
      <c r="M49" s="175"/>
      <c r="N49" s="16"/>
      <c r="O49" s="21"/>
      <c r="P49" s="11"/>
    </row>
    <row r="50" spans="1:16" s="19" customFormat="1" ht="157.5">
      <c r="A50" s="174"/>
      <c r="B50" s="272" t="s">
        <v>473</v>
      </c>
      <c r="C50" s="175"/>
      <c r="D50" s="175" t="s">
        <v>493</v>
      </c>
      <c r="E50" s="175">
        <v>10</v>
      </c>
      <c r="F50" s="175" t="s">
        <v>456</v>
      </c>
      <c r="G50" s="16" t="s">
        <v>494</v>
      </c>
      <c r="H50" s="256">
        <f>(800+1025+2153+2728+2824+2944+2824+2944+2728+7166)*1.01*1.05*1.051*1.051*1.054*1.049*1.047+6890*0.5*1.05*1.051*1.051*1.054*1.049*1.047</f>
        <v>42779.475158464717</v>
      </c>
      <c r="I50" s="13">
        <v>40267.799999999996</v>
      </c>
      <c r="J50" s="175"/>
      <c r="K50" s="175"/>
      <c r="L50" s="175"/>
      <c r="M50" s="175"/>
      <c r="N50" s="16"/>
      <c r="O50" s="21"/>
      <c r="P50" s="11"/>
    </row>
    <row r="51" spans="1:16" s="19" customFormat="1" ht="63.75">
      <c r="A51" s="174"/>
      <c r="B51" s="272" t="s">
        <v>474</v>
      </c>
      <c r="C51" s="175"/>
      <c r="D51" s="175" t="s">
        <v>495</v>
      </c>
      <c r="E51" s="175">
        <v>2</v>
      </c>
      <c r="F51" s="175" t="s">
        <v>456</v>
      </c>
      <c r="G51" s="16" t="s">
        <v>496</v>
      </c>
      <c r="H51" s="256">
        <f>(2944+7166)*1.01*1.05*1.051*1.051*1.054*1.049*1.047</f>
        <v>13709.765968076408</v>
      </c>
      <c r="I51" s="13">
        <v>12195.400000000001</v>
      </c>
      <c r="J51" s="175"/>
      <c r="K51" s="175"/>
      <c r="L51" s="175"/>
      <c r="M51" s="175"/>
      <c r="N51" s="16"/>
      <c r="O51" s="21"/>
      <c r="P51" s="11"/>
    </row>
    <row r="52" spans="1:16" s="19" customFormat="1" ht="27" customHeight="1">
      <c r="A52" s="174"/>
      <c r="B52" s="15"/>
      <c r="C52" s="175"/>
      <c r="D52" s="175"/>
      <c r="E52" s="175"/>
      <c r="F52" s="175"/>
      <c r="G52" s="16"/>
      <c r="H52" s="21"/>
      <c r="I52" s="11"/>
      <c r="J52" s="175"/>
      <c r="K52" s="175"/>
      <c r="L52" s="175"/>
      <c r="M52" s="175"/>
      <c r="N52" s="16"/>
      <c r="O52" s="21"/>
      <c r="P52" s="11"/>
    </row>
    <row r="53" spans="1:16" ht="33" customHeight="1">
      <c r="A53" s="78">
        <v>2</v>
      </c>
      <c r="B53" s="15" t="s">
        <v>109</v>
      </c>
      <c r="C53" s="70" t="s">
        <v>107</v>
      </c>
      <c r="D53" s="70" t="s">
        <v>107</v>
      </c>
      <c r="E53" s="70" t="s">
        <v>107</v>
      </c>
      <c r="F53" s="70" t="s">
        <v>107</v>
      </c>
      <c r="G53" s="70" t="s">
        <v>107</v>
      </c>
      <c r="H53" s="70" t="s">
        <v>107</v>
      </c>
      <c r="I53" s="70" t="s">
        <v>107</v>
      </c>
      <c r="J53" s="70" t="s">
        <v>107</v>
      </c>
      <c r="K53" s="70" t="s">
        <v>107</v>
      </c>
      <c r="L53" s="70" t="s">
        <v>107</v>
      </c>
      <c r="M53" s="70" t="s">
        <v>107</v>
      </c>
      <c r="N53" s="70" t="s">
        <v>107</v>
      </c>
      <c r="O53" s="70" t="s">
        <v>107</v>
      </c>
      <c r="P53" s="70" t="s">
        <v>107</v>
      </c>
    </row>
    <row r="54" spans="1:16" ht="33.75" customHeight="1">
      <c r="A54" s="78"/>
      <c r="B54" s="283" t="s">
        <v>497</v>
      </c>
      <c r="C54" s="70">
        <v>10</v>
      </c>
      <c r="D54" s="70">
        <v>20</v>
      </c>
      <c r="E54" s="70">
        <v>1</v>
      </c>
      <c r="F54" s="70" t="s">
        <v>17</v>
      </c>
      <c r="G54" s="254" t="s">
        <v>514</v>
      </c>
      <c r="H54" s="282">
        <f>1615*20*1.05*1.051</f>
        <v>35644.665000000001</v>
      </c>
      <c r="I54" s="33">
        <v>29130</v>
      </c>
      <c r="J54" s="70"/>
      <c r="K54" s="70" t="s">
        <v>16</v>
      </c>
      <c r="L54" s="70"/>
      <c r="M54" s="70" t="s">
        <v>17</v>
      </c>
      <c r="N54" s="65" t="s">
        <v>37</v>
      </c>
      <c r="O54" s="65"/>
      <c r="P54" s="33"/>
    </row>
    <row r="55" spans="1:16" s="278" customFormat="1" ht="33.75" customHeight="1">
      <c r="A55" s="162"/>
      <c r="B55" s="283" t="s">
        <v>498</v>
      </c>
      <c r="C55" s="70">
        <v>10</v>
      </c>
      <c r="D55" s="70">
        <v>20</v>
      </c>
      <c r="E55" s="70">
        <v>1</v>
      </c>
      <c r="F55" s="70" t="s">
        <v>17</v>
      </c>
      <c r="G55" s="254" t="s">
        <v>514</v>
      </c>
      <c r="H55" s="282">
        <f>1615*20*1.05*1.051</f>
        <v>35644.665000000001</v>
      </c>
      <c r="I55" s="277">
        <f>16926.78+6671.67+5531.07</f>
        <v>29129.519999999997</v>
      </c>
      <c r="J55" s="275"/>
      <c r="K55" s="275"/>
      <c r="L55" s="275"/>
      <c r="M55" s="275"/>
      <c r="N55" s="276"/>
      <c r="O55" s="276"/>
      <c r="P55" s="277"/>
    </row>
    <row r="56" spans="1:16" s="278" customFormat="1" ht="33.75" customHeight="1">
      <c r="A56" s="162"/>
      <c r="B56" s="283" t="s">
        <v>499</v>
      </c>
      <c r="C56" s="70">
        <v>10</v>
      </c>
      <c r="D56" s="70">
        <v>18</v>
      </c>
      <c r="E56" s="70">
        <v>1</v>
      </c>
      <c r="F56" s="70" t="s">
        <v>17</v>
      </c>
      <c r="G56" s="254" t="s">
        <v>514</v>
      </c>
      <c r="H56" s="282">
        <f>1615*18*1.05*1.051*1.054</f>
        <v>33812.529219000004</v>
      </c>
      <c r="I56" s="277">
        <f>21309.32+6602.29+5643.48</f>
        <v>33555.089999999997</v>
      </c>
      <c r="J56" s="275"/>
      <c r="K56" s="275"/>
      <c r="L56" s="275"/>
      <c r="M56" s="275"/>
      <c r="N56" s="276"/>
      <c r="O56" s="276"/>
      <c r="P56" s="277"/>
    </row>
    <row r="57" spans="1:16" ht="15.75" customHeight="1">
      <c r="A57" s="78"/>
      <c r="B57" s="283" t="s">
        <v>500</v>
      </c>
      <c r="C57" s="70">
        <v>10</v>
      </c>
      <c r="D57" s="70">
        <v>16</v>
      </c>
      <c r="E57" s="70">
        <v>1</v>
      </c>
      <c r="F57" s="70" t="s">
        <v>17</v>
      </c>
      <c r="G57" s="254" t="s">
        <v>514</v>
      </c>
      <c r="H57" s="282">
        <f>1615*16*1.05*1.051*1.054</f>
        <v>30055.581528000002</v>
      </c>
      <c r="I57" s="33">
        <f>11216.9+8440+7959</f>
        <v>27615.9</v>
      </c>
      <c r="J57" s="70"/>
      <c r="K57" s="70"/>
      <c r="L57" s="70"/>
      <c r="M57" s="70"/>
      <c r="N57" s="176"/>
      <c r="O57" s="176"/>
      <c r="P57" s="33"/>
    </row>
    <row r="58" spans="1:16" ht="15.75" customHeight="1">
      <c r="A58" s="78"/>
      <c r="B58" s="15"/>
      <c r="C58" s="70"/>
      <c r="D58" s="70"/>
      <c r="E58" s="70"/>
      <c r="F58" s="70"/>
      <c r="G58" s="176"/>
      <c r="H58" s="176"/>
      <c r="I58" s="33"/>
      <c r="J58" s="70"/>
      <c r="K58" s="70"/>
      <c r="L58" s="70"/>
      <c r="M58" s="70"/>
      <c r="N58" s="176"/>
      <c r="O58" s="176"/>
      <c r="P58" s="33"/>
    </row>
    <row r="59" spans="1:16" ht="15.75" customHeight="1">
      <c r="A59" s="78"/>
      <c r="B59" s="15"/>
      <c r="C59" s="70"/>
      <c r="D59" s="70"/>
      <c r="E59" s="70"/>
      <c r="F59" s="70"/>
      <c r="G59" s="65"/>
      <c r="H59" s="65"/>
      <c r="I59" s="33"/>
      <c r="J59" s="70"/>
      <c r="K59" s="70"/>
      <c r="L59" s="70"/>
      <c r="M59" s="70"/>
      <c r="N59" s="65"/>
      <c r="O59" s="65"/>
      <c r="P59" s="33"/>
    </row>
    <row r="60" spans="1:16" ht="15.75" customHeight="1">
      <c r="A60" s="78"/>
      <c r="B60" s="15"/>
      <c r="C60" s="70"/>
      <c r="D60" s="70"/>
      <c r="E60" s="70"/>
      <c r="F60" s="70"/>
      <c r="G60" s="65"/>
      <c r="H60" s="65"/>
      <c r="I60" s="33"/>
      <c r="J60" s="70"/>
      <c r="K60" s="70"/>
      <c r="L60" s="70"/>
      <c r="M60" s="70"/>
      <c r="N60" s="65"/>
      <c r="O60" s="65"/>
      <c r="P60" s="33"/>
    </row>
    <row r="61" spans="1:16" s="19" customFormat="1" ht="55.5" customHeight="1">
      <c r="A61" s="78"/>
      <c r="B61" s="51"/>
      <c r="C61" s="72"/>
      <c r="D61" s="72"/>
      <c r="E61" s="72"/>
      <c r="F61" s="72"/>
      <c r="G61" s="72"/>
      <c r="H61" s="72"/>
      <c r="I61" s="24"/>
      <c r="J61" s="72"/>
      <c r="K61" s="72"/>
      <c r="L61" s="72"/>
      <c r="M61" s="72"/>
      <c r="N61" s="72"/>
      <c r="O61" s="72"/>
      <c r="P61" s="24"/>
    </row>
    <row r="62" spans="1:16" ht="15.75" customHeight="1">
      <c r="A62" s="80"/>
      <c r="B62" s="34"/>
      <c r="C62" s="28"/>
      <c r="D62" s="62"/>
      <c r="E62" s="62"/>
      <c r="F62" s="62"/>
      <c r="G62" s="66"/>
      <c r="H62" s="66"/>
      <c r="I62" s="35"/>
      <c r="J62" s="32"/>
      <c r="K62" s="32"/>
    </row>
    <row r="63" spans="1:16" s="53" customFormat="1" ht="18.75" customHeight="1">
      <c r="A63" s="306"/>
      <c r="B63" s="306"/>
      <c r="C63" s="306"/>
      <c r="D63" s="306"/>
      <c r="E63" s="306"/>
      <c r="F63" s="306"/>
      <c r="G63" s="306"/>
      <c r="H63" s="66"/>
      <c r="I63" s="35"/>
    </row>
    <row r="64" spans="1:16" s="53" customFormat="1" ht="41.25" customHeight="1">
      <c r="A64" s="306"/>
      <c r="B64" s="306"/>
      <c r="C64" s="306"/>
      <c r="D64" s="306"/>
      <c r="E64" s="306"/>
      <c r="F64" s="306"/>
      <c r="G64" s="306"/>
      <c r="H64" s="66"/>
      <c r="I64" s="35"/>
    </row>
    <row r="65" spans="1:9" s="53" customFormat="1" ht="38.25" customHeight="1">
      <c r="A65" s="306"/>
      <c r="B65" s="306"/>
      <c r="C65" s="306"/>
      <c r="D65" s="306"/>
      <c r="E65" s="306"/>
      <c r="F65" s="306"/>
      <c r="G65" s="306"/>
      <c r="H65"/>
      <c r="I65" s="35"/>
    </row>
    <row r="66" spans="1:9" s="53" customFormat="1" ht="18.75" customHeight="1">
      <c r="A66" s="307"/>
      <c r="B66" s="307"/>
      <c r="C66" s="307"/>
      <c r="D66" s="307"/>
      <c r="E66" s="307"/>
      <c r="F66" s="307"/>
      <c r="G66" s="307"/>
      <c r="H66" s="66"/>
      <c r="I66" s="35"/>
    </row>
    <row r="67" spans="1:9" s="53" customFormat="1" ht="217.5" customHeight="1">
      <c r="A67" s="302"/>
      <c r="B67" s="305"/>
      <c r="C67" s="305"/>
      <c r="D67" s="305"/>
      <c r="E67" s="305"/>
      <c r="F67" s="305"/>
      <c r="G67" s="305"/>
      <c r="H67" s="66"/>
      <c r="I67" s="35"/>
    </row>
    <row r="68" spans="1:9" ht="53.25" customHeight="1">
      <c r="A68" s="302"/>
      <c r="B68" s="303"/>
      <c r="C68" s="303"/>
      <c r="D68" s="303"/>
      <c r="E68" s="303"/>
      <c r="F68" s="303"/>
      <c r="G68" s="303"/>
    </row>
    <row r="69" spans="1:9">
      <c r="A69" s="304"/>
      <c r="B69" s="304"/>
      <c r="C69" s="304"/>
      <c r="D69" s="304"/>
      <c r="E69" s="304"/>
      <c r="F69" s="304"/>
      <c r="G69" s="304"/>
    </row>
    <row r="70" spans="1:9">
      <c r="B70"/>
    </row>
    <row r="74" spans="1:9">
      <c r="B74"/>
    </row>
  </sheetData>
  <mergeCells count="18">
    <mergeCell ref="A66:G66"/>
    <mergeCell ref="A67:G67"/>
    <mergeCell ref="A68:G68"/>
    <mergeCell ref="A69:G69"/>
    <mergeCell ref="A63:G63"/>
    <mergeCell ref="A64:G64"/>
    <mergeCell ref="A65:G65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58" fitToHeight="0" orientation="portrait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0"/>
  <sheetViews>
    <sheetView view="pageBreakPreview" topLeftCell="A13" zoomScale="110" zoomScaleNormal="70" zoomScaleSheetLayoutView="110" workbookViewId="0">
      <selection activeCell="C138" sqref="C138:H138"/>
    </sheetView>
  </sheetViews>
  <sheetFormatPr defaultRowHeight="15.75"/>
  <cols>
    <col min="1" max="1" width="11" style="7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>
      <c r="A1" s="292" t="s">
        <v>146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</row>
    <row r="2" spans="1:16" ht="15.75" customHeight="1">
      <c r="A2" s="291" t="s">
        <v>0</v>
      </c>
      <c r="B2" s="285" t="s">
        <v>2</v>
      </c>
      <c r="C2" s="287" t="s">
        <v>41</v>
      </c>
      <c r="D2" s="287"/>
      <c r="E2" s="287"/>
      <c r="F2" s="287"/>
      <c r="G2" s="287"/>
      <c r="H2" s="287"/>
      <c r="I2" s="287"/>
      <c r="J2" s="287" t="s">
        <v>42</v>
      </c>
      <c r="K2" s="287"/>
      <c r="L2" s="287"/>
      <c r="M2" s="287"/>
      <c r="N2" s="287"/>
      <c r="O2" s="287"/>
      <c r="P2" s="287"/>
    </row>
    <row r="3" spans="1:16" ht="41.25" customHeight="1">
      <c r="A3" s="291"/>
      <c r="B3" s="285"/>
      <c r="C3" s="288" t="s">
        <v>62</v>
      </c>
      <c r="D3" s="289"/>
      <c r="E3" s="289"/>
      <c r="F3" s="289"/>
      <c r="G3" s="289"/>
      <c r="H3" s="289"/>
      <c r="I3" s="290"/>
      <c r="J3" s="288" t="s">
        <v>62</v>
      </c>
      <c r="K3" s="289"/>
      <c r="L3" s="289"/>
      <c r="M3" s="289"/>
      <c r="N3" s="289"/>
      <c r="O3" s="289"/>
      <c r="P3" s="290"/>
    </row>
    <row r="4" spans="1:16" ht="33.75" customHeight="1">
      <c r="A4" s="291"/>
      <c r="B4" s="285"/>
      <c r="C4" s="285" t="s">
        <v>13</v>
      </c>
      <c r="D4" s="285"/>
      <c r="E4" s="285"/>
      <c r="F4" s="285"/>
      <c r="G4" s="285" t="s">
        <v>108</v>
      </c>
      <c r="H4" s="286"/>
      <c r="I4" s="286"/>
      <c r="J4" s="285" t="s">
        <v>13</v>
      </c>
      <c r="K4" s="285"/>
      <c r="L4" s="285"/>
      <c r="M4" s="285"/>
      <c r="N4" s="285" t="s">
        <v>108</v>
      </c>
      <c r="O4" s="286"/>
      <c r="P4" s="286"/>
    </row>
    <row r="5" spans="1:16" s="9" customFormat="1" ht="63">
      <c r="A5" s="291"/>
      <c r="B5" s="285"/>
      <c r="C5" s="89" t="s">
        <v>25</v>
      </c>
      <c r="D5" s="89" t="s">
        <v>9</v>
      </c>
      <c r="E5" s="89" t="s">
        <v>100</v>
      </c>
      <c r="F5" s="89" t="s">
        <v>11</v>
      </c>
      <c r="G5" s="89" t="s">
        <v>14</v>
      </c>
      <c r="H5" s="89" t="s">
        <v>48</v>
      </c>
      <c r="I5" s="13" t="s">
        <v>49</v>
      </c>
      <c r="J5" s="89" t="s">
        <v>25</v>
      </c>
      <c r="K5" s="89" t="s">
        <v>9</v>
      </c>
      <c r="L5" s="89" t="s">
        <v>100</v>
      </c>
      <c r="M5" s="89" t="s">
        <v>11</v>
      </c>
      <c r="N5" s="89" t="s">
        <v>14</v>
      </c>
      <c r="O5" s="89" t="s">
        <v>50</v>
      </c>
      <c r="P5" s="13" t="s">
        <v>49</v>
      </c>
    </row>
    <row r="6" spans="1:16" s="12" customFormat="1">
      <c r="A6" s="75">
        <v>1</v>
      </c>
      <c r="B6" s="89">
        <v>2</v>
      </c>
      <c r="C6" s="89">
        <v>3</v>
      </c>
      <c r="D6" s="89">
        <v>4</v>
      </c>
      <c r="E6" s="89">
        <v>5</v>
      </c>
      <c r="F6" s="89">
        <v>6</v>
      </c>
      <c r="G6" s="89">
        <v>7</v>
      </c>
      <c r="H6" s="89">
        <v>8</v>
      </c>
      <c r="I6" s="13">
        <v>9</v>
      </c>
      <c r="J6" s="89">
        <v>10</v>
      </c>
      <c r="K6" s="13">
        <v>11</v>
      </c>
      <c r="L6" s="89">
        <v>12</v>
      </c>
      <c r="M6" s="13">
        <v>13</v>
      </c>
      <c r="N6" s="89">
        <v>14</v>
      </c>
      <c r="O6" s="13">
        <v>15</v>
      </c>
      <c r="P6" s="89">
        <v>16</v>
      </c>
    </row>
    <row r="7" spans="1:16" s="12" customFormat="1">
      <c r="A7" s="75"/>
      <c r="B7" s="10" t="s">
        <v>156</v>
      </c>
      <c r="C7" s="96"/>
      <c r="D7" s="96"/>
      <c r="E7" s="96"/>
      <c r="F7" s="96"/>
      <c r="G7" s="96"/>
      <c r="H7" s="96"/>
      <c r="I7" s="13"/>
      <c r="J7" s="96"/>
      <c r="K7" s="13"/>
      <c r="L7" s="96"/>
      <c r="M7" s="13"/>
      <c r="N7" s="96"/>
      <c r="O7" s="13"/>
      <c r="P7" s="96"/>
    </row>
    <row r="8" spans="1:16" s="12" customFormat="1" ht="51" customHeight="1">
      <c r="A8" s="107"/>
      <c r="B8" s="108" t="s">
        <v>306</v>
      </c>
      <c r="C8" s="109" t="s">
        <v>107</v>
      </c>
      <c r="D8" s="109" t="s">
        <v>107</v>
      </c>
      <c r="E8" s="109" t="s">
        <v>107</v>
      </c>
      <c r="F8" s="109" t="s">
        <v>107</v>
      </c>
      <c r="G8" s="109" t="s">
        <v>107</v>
      </c>
      <c r="H8" s="109" t="s">
        <v>107</v>
      </c>
      <c r="I8" s="109" t="s">
        <v>107</v>
      </c>
      <c r="J8" s="89" t="s">
        <v>107</v>
      </c>
      <c r="K8" s="89" t="s">
        <v>107</v>
      </c>
      <c r="L8" s="89" t="s">
        <v>107</v>
      </c>
      <c r="M8" s="89" t="s">
        <v>107</v>
      </c>
      <c r="N8" s="89" t="s">
        <v>107</v>
      </c>
      <c r="O8" s="89" t="s">
        <v>107</v>
      </c>
      <c r="P8" s="89" t="s">
        <v>107</v>
      </c>
    </row>
    <row r="9" spans="1:16" s="12" customFormat="1" ht="63">
      <c r="A9" s="107"/>
      <c r="B9" s="110" t="s">
        <v>147</v>
      </c>
      <c r="C9" s="109">
        <v>0.4</v>
      </c>
      <c r="D9" s="111" t="s">
        <v>153</v>
      </c>
      <c r="E9" s="112">
        <v>1.25</v>
      </c>
      <c r="F9" s="113" t="s">
        <v>154</v>
      </c>
      <c r="G9" s="101" t="s">
        <v>155</v>
      </c>
      <c r="H9" s="101">
        <f t="shared" ref="H9:H25" si="0">(499*E9+517*E9+358*E9+6890*0.05*E9)*1.05*1.051</f>
        <v>2370.5633437500001</v>
      </c>
      <c r="I9" s="112">
        <v>2029.97</v>
      </c>
      <c r="J9" s="89"/>
      <c r="K9" s="36" t="s">
        <v>18</v>
      </c>
      <c r="L9" s="89"/>
      <c r="M9" s="93" t="s">
        <v>3</v>
      </c>
      <c r="N9" s="16" t="s">
        <v>38</v>
      </c>
      <c r="O9" s="89"/>
      <c r="P9" s="18"/>
    </row>
    <row r="10" spans="1:16" s="12" customFormat="1" ht="63">
      <c r="A10" s="107"/>
      <c r="B10" s="110" t="s">
        <v>148</v>
      </c>
      <c r="C10" s="109">
        <v>0.4</v>
      </c>
      <c r="D10" s="111" t="s">
        <v>153</v>
      </c>
      <c r="E10" s="112">
        <v>1.4</v>
      </c>
      <c r="F10" s="113" t="s">
        <v>154</v>
      </c>
      <c r="G10" s="101" t="s">
        <v>155</v>
      </c>
      <c r="H10" s="101">
        <f t="shared" si="0"/>
        <v>2655.0309449999995</v>
      </c>
      <c r="I10" s="112">
        <v>2273.5700000000002</v>
      </c>
      <c r="J10" s="89"/>
      <c r="K10" s="36" t="s">
        <v>18</v>
      </c>
      <c r="L10" s="89"/>
      <c r="M10" s="93" t="s">
        <v>3</v>
      </c>
      <c r="N10" s="16" t="s">
        <v>38</v>
      </c>
      <c r="O10" s="89"/>
      <c r="P10" s="18"/>
    </row>
    <row r="11" spans="1:16" s="12" customFormat="1" ht="45">
      <c r="A11" s="107"/>
      <c r="B11" s="110" t="s">
        <v>149</v>
      </c>
      <c r="C11" s="109">
        <v>0.4</v>
      </c>
      <c r="D11" s="111" t="s">
        <v>153</v>
      </c>
      <c r="E11" s="112">
        <v>1.05</v>
      </c>
      <c r="F11" s="113" t="s">
        <v>154</v>
      </c>
      <c r="G11" s="101" t="s">
        <v>155</v>
      </c>
      <c r="H11" s="101">
        <f t="shared" si="0"/>
        <v>1991.2732087500001</v>
      </c>
      <c r="I11" s="112">
        <v>1705.18</v>
      </c>
      <c r="J11" s="96"/>
      <c r="K11" s="36"/>
      <c r="L11" s="96"/>
      <c r="M11" s="97"/>
      <c r="N11" s="16"/>
      <c r="O11" s="96"/>
      <c r="P11" s="18"/>
    </row>
    <row r="12" spans="1:16" s="12" customFormat="1" ht="45">
      <c r="A12" s="107"/>
      <c r="B12" s="114" t="s">
        <v>150</v>
      </c>
      <c r="C12" s="109">
        <v>0.4</v>
      </c>
      <c r="D12" s="111" t="s">
        <v>153</v>
      </c>
      <c r="E12" s="112">
        <v>0.45</v>
      </c>
      <c r="F12" s="113" t="s">
        <v>154</v>
      </c>
      <c r="G12" s="101" t="s">
        <v>155</v>
      </c>
      <c r="H12" s="101">
        <f t="shared" si="0"/>
        <v>853.40280374999998</v>
      </c>
      <c r="I12" s="112">
        <v>730.79</v>
      </c>
      <c r="J12" s="96"/>
      <c r="K12" s="36"/>
      <c r="L12" s="96"/>
      <c r="M12" s="97"/>
      <c r="N12" s="16"/>
      <c r="O12" s="96"/>
      <c r="P12" s="18"/>
    </row>
    <row r="13" spans="1:16" s="12" customFormat="1" ht="45">
      <c r="A13" s="107"/>
      <c r="B13" s="114" t="s">
        <v>151</v>
      </c>
      <c r="C13" s="109">
        <v>0.4</v>
      </c>
      <c r="D13" s="111" t="s">
        <v>153</v>
      </c>
      <c r="E13" s="112">
        <v>1.5</v>
      </c>
      <c r="F13" s="113" t="s">
        <v>154</v>
      </c>
      <c r="G13" s="101" t="s">
        <v>155</v>
      </c>
      <c r="H13" s="101">
        <f t="shared" si="0"/>
        <v>2844.6760125000001</v>
      </c>
      <c r="I13" s="112">
        <v>2435.9699999999998</v>
      </c>
      <c r="J13" s="96"/>
      <c r="K13" s="36"/>
      <c r="L13" s="96"/>
      <c r="M13" s="97"/>
      <c r="N13" s="16"/>
      <c r="O13" s="96"/>
      <c r="P13" s="18"/>
    </row>
    <row r="14" spans="1:16" s="12" customFormat="1" ht="45">
      <c r="A14" s="107"/>
      <c r="B14" s="114" t="s">
        <v>152</v>
      </c>
      <c r="C14" s="109">
        <v>0.4</v>
      </c>
      <c r="D14" s="111" t="s">
        <v>153</v>
      </c>
      <c r="E14" s="112">
        <v>0.91500000000000004</v>
      </c>
      <c r="F14" s="113" t="s">
        <v>154</v>
      </c>
      <c r="G14" s="101" t="s">
        <v>155</v>
      </c>
      <c r="H14" s="101">
        <f t="shared" si="0"/>
        <v>1735.252367625</v>
      </c>
      <c r="I14" s="112">
        <v>1485.94</v>
      </c>
      <c r="J14" s="96"/>
      <c r="K14" s="36"/>
      <c r="L14" s="96"/>
      <c r="M14" s="97"/>
      <c r="N14" s="16"/>
      <c r="O14" s="96"/>
      <c r="P14" s="18"/>
    </row>
    <row r="15" spans="1:16" s="12" customFormat="1" ht="45">
      <c r="A15" s="107"/>
      <c r="B15" s="115" t="s">
        <v>160</v>
      </c>
      <c r="C15" s="109">
        <v>0.4</v>
      </c>
      <c r="D15" s="111" t="s">
        <v>153</v>
      </c>
      <c r="E15" s="116">
        <v>0.875</v>
      </c>
      <c r="F15" s="113" t="s">
        <v>154</v>
      </c>
      <c r="G15" s="101" t="s">
        <v>155</v>
      </c>
      <c r="H15" s="101">
        <f t="shared" si="0"/>
        <v>1659.394340625</v>
      </c>
      <c r="I15" s="117">
        <v>1420.98</v>
      </c>
      <c r="J15" s="96"/>
      <c r="K15" s="36"/>
      <c r="L15" s="96"/>
      <c r="M15" s="97"/>
      <c r="N15" s="16"/>
      <c r="O15" s="96"/>
      <c r="P15" s="18"/>
    </row>
    <row r="16" spans="1:16" s="12" customFormat="1" ht="60">
      <c r="A16" s="107"/>
      <c r="B16" s="115" t="s">
        <v>162</v>
      </c>
      <c r="C16" s="109">
        <v>0.4</v>
      </c>
      <c r="D16" s="111" t="s">
        <v>153</v>
      </c>
      <c r="E16" s="116">
        <v>0.45800000000000002</v>
      </c>
      <c r="F16" s="113" t="s">
        <v>154</v>
      </c>
      <c r="G16" s="101" t="s">
        <v>155</v>
      </c>
      <c r="H16" s="101">
        <f t="shared" si="0"/>
        <v>868.57440914999984</v>
      </c>
      <c r="I16" s="117">
        <v>743.78</v>
      </c>
      <c r="J16" s="96"/>
      <c r="K16" s="36"/>
      <c r="L16" s="96"/>
      <c r="M16" s="97"/>
      <c r="N16" s="16"/>
      <c r="O16" s="96"/>
      <c r="P16" s="18"/>
    </row>
    <row r="17" spans="1:16" s="12" customFormat="1" ht="45">
      <c r="A17" s="107"/>
      <c r="B17" s="115" t="s">
        <v>163</v>
      </c>
      <c r="C17" s="109">
        <v>0.4</v>
      </c>
      <c r="D17" s="111" t="s">
        <v>153</v>
      </c>
      <c r="E17" s="116">
        <v>8.7999999999999995E-2</v>
      </c>
      <c r="F17" s="113" t="s">
        <v>154</v>
      </c>
      <c r="G17" s="101" t="s">
        <v>155</v>
      </c>
      <c r="H17" s="101">
        <f t="shared" si="0"/>
        <v>166.88765939999996</v>
      </c>
      <c r="I17" s="117">
        <v>142.91</v>
      </c>
      <c r="J17" s="96"/>
      <c r="K17" s="36"/>
      <c r="L17" s="96"/>
      <c r="M17" s="97"/>
      <c r="N17" s="16"/>
      <c r="O17" s="96"/>
      <c r="P17" s="18"/>
    </row>
    <row r="18" spans="1:16" s="12" customFormat="1" ht="45">
      <c r="A18" s="107"/>
      <c r="B18" s="106" t="s">
        <v>165</v>
      </c>
      <c r="C18" s="109">
        <v>0.4</v>
      </c>
      <c r="D18" s="111" t="s">
        <v>153</v>
      </c>
      <c r="E18" s="112">
        <v>2</v>
      </c>
      <c r="F18" s="113" t="s">
        <v>154</v>
      </c>
      <c r="G18" s="101" t="s">
        <v>155</v>
      </c>
      <c r="H18" s="101">
        <f t="shared" si="0"/>
        <v>3792.9013500000001</v>
      </c>
      <c r="I18" s="118">
        <v>3247.96</v>
      </c>
      <c r="J18" s="96"/>
      <c r="K18" s="36"/>
      <c r="L18" s="96"/>
      <c r="M18" s="97"/>
      <c r="N18" s="16"/>
      <c r="O18" s="96"/>
      <c r="P18" s="18"/>
    </row>
    <row r="19" spans="1:16" s="12" customFormat="1" ht="45">
      <c r="A19" s="107"/>
      <c r="B19" s="106" t="s">
        <v>167</v>
      </c>
      <c r="C19" s="109">
        <v>0.4</v>
      </c>
      <c r="D19" s="111" t="s">
        <v>153</v>
      </c>
      <c r="E19" s="112">
        <v>1.9</v>
      </c>
      <c r="F19" s="113" t="s">
        <v>154</v>
      </c>
      <c r="G19" s="101" t="s">
        <v>155</v>
      </c>
      <c r="H19" s="101">
        <f t="shared" si="0"/>
        <v>3603.2562824999995</v>
      </c>
      <c r="I19" s="118">
        <v>3085.5619999999999</v>
      </c>
      <c r="J19" s="96"/>
      <c r="K19" s="36"/>
      <c r="L19" s="96"/>
      <c r="M19" s="97"/>
      <c r="N19" s="16"/>
      <c r="O19" s="96"/>
      <c r="P19" s="18"/>
    </row>
    <row r="20" spans="1:16" s="12" customFormat="1" ht="45">
      <c r="A20" s="107"/>
      <c r="B20" s="106" t="s">
        <v>168</v>
      </c>
      <c r="C20" s="109">
        <v>0.4</v>
      </c>
      <c r="D20" s="111" t="s">
        <v>153</v>
      </c>
      <c r="E20" s="112">
        <v>0.8</v>
      </c>
      <c r="F20" s="113" t="s">
        <v>154</v>
      </c>
      <c r="G20" s="101" t="s">
        <v>155</v>
      </c>
      <c r="H20" s="101">
        <f t="shared" si="0"/>
        <v>1517.1605400000001</v>
      </c>
      <c r="I20" s="118">
        <v>1299.1840000000002</v>
      </c>
      <c r="J20" s="96"/>
      <c r="K20" s="36"/>
      <c r="L20" s="96"/>
      <c r="M20" s="97"/>
      <c r="N20" s="16"/>
      <c r="O20" s="96"/>
      <c r="P20" s="18"/>
    </row>
    <row r="21" spans="1:16" s="12" customFormat="1" ht="45">
      <c r="A21" s="107"/>
      <c r="B21" s="106" t="s">
        <v>170</v>
      </c>
      <c r="C21" s="109">
        <v>0.4</v>
      </c>
      <c r="D21" s="111" t="s">
        <v>153</v>
      </c>
      <c r="E21" s="112">
        <v>0.7</v>
      </c>
      <c r="F21" s="113" t="s">
        <v>154</v>
      </c>
      <c r="G21" s="101" t="s">
        <v>155</v>
      </c>
      <c r="H21" s="101">
        <f t="shared" si="0"/>
        <v>1327.5154724999998</v>
      </c>
      <c r="I21" s="118">
        <v>1136.7860000000001</v>
      </c>
      <c r="J21" s="96"/>
      <c r="K21" s="36"/>
      <c r="L21" s="96"/>
      <c r="M21" s="97"/>
      <c r="N21" s="16"/>
      <c r="O21" s="96"/>
      <c r="P21" s="18"/>
    </row>
    <row r="22" spans="1:16" s="12" customFormat="1" ht="105">
      <c r="A22" s="107"/>
      <c r="B22" s="119" t="s">
        <v>172</v>
      </c>
      <c r="C22" s="109">
        <v>0.4</v>
      </c>
      <c r="D22" s="111" t="s">
        <v>153</v>
      </c>
      <c r="E22" s="112">
        <v>38.561</v>
      </c>
      <c r="F22" s="113" t="s">
        <v>154</v>
      </c>
      <c r="G22" s="101" t="s">
        <v>155</v>
      </c>
      <c r="H22" s="101">
        <f t="shared" si="0"/>
        <v>73129.034478675007</v>
      </c>
      <c r="I22" s="120">
        <v>45333.91</v>
      </c>
      <c r="J22" s="96"/>
      <c r="K22" s="36"/>
      <c r="L22" s="96"/>
      <c r="M22" s="97"/>
      <c r="N22" s="16"/>
      <c r="O22" s="96"/>
      <c r="P22" s="18"/>
    </row>
    <row r="23" spans="1:16" s="12" customFormat="1" ht="60">
      <c r="A23" s="107"/>
      <c r="B23" s="106" t="s">
        <v>174</v>
      </c>
      <c r="C23" s="109">
        <v>0.4</v>
      </c>
      <c r="D23" s="111" t="s">
        <v>153</v>
      </c>
      <c r="E23" s="112">
        <v>0.15</v>
      </c>
      <c r="F23" s="113" t="s">
        <v>154</v>
      </c>
      <c r="G23" s="101" t="s">
        <v>155</v>
      </c>
      <c r="H23" s="101">
        <f t="shared" si="0"/>
        <v>284.46760124999997</v>
      </c>
      <c r="I23" s="120">
        <v>243.59700000000001</v>
      </c>
      <c r="J23" s="96"/>
      <c r="K23" s="36"/>
      <c r="L23" s="96"/>
      <c r="M23" s="97"/>
      <c r="N23" s="16"/>
      <c r="O23" s="96"/>
      <c r="P23" s="18"/>
    </row>
    <row r="24" spans="1:16" s="12" customFormat="1" ht="105">
      <c r="A24" s="107"/>
      <c r="B24" s="121" t="s">
        <v>182</v>
      </c>
      <c r="C24" s="109">
        <v>0.4</v>
      </c>
      <c r="D24" s="111" t="s">
        <v>153</v>
      </c>
      <c r="E24" s="112">
        <v>28.58</v>
      </c>
      <c r="F24" s="113" t="s">
        <v>154</v>
      </c>
      <c r="G24" s="101" t="s">
        <v>155</v>
      </c>
      <c r="H24" s="101">
        <f t="shared" si="0"/>
        <v>54200.560291499991</v>
      </c>
      <c r="I24" s="120">
        <v>44298</v>
      </c>
      <c r="J24" s="96"/>
      <c r="K24" s="36"/>
      <c r="L24" s="96"/>
      <c r="M24" s="97"/>
      <c r="N24" s="16"/>
      <c r="O24" s="96"/>
      <c r="P24" s="18"/>
    </row>
    <row r="25" spans="1:16" s="12" customFormat="1" ht="60">
      <c r="A25" s="107"/>
      <c r="B25" s="121" t="s">
        <v>184</v>
      </c>
      <c r="C25" s="109">
        <v>0.4</v>
      </c>
      <c r="D25" s="111" t="s">
        <v>153</v>
      </c>
      <c r="E25" s="112">
        <v>8.11</v>
      </c>
      <c r="F25" s="113" t="s">
        <v>154</v>
      </c>
      <c r="G25" s="101" t="s">
        <v>155</v>
      </c>
      <c r="H25" s="101">
        <f t="shared" si="0"/>
        <v>15380.214974249999</v>
      </c>
      <c r="I25" s="122">
        <v>12577.5</v>
      </c>
      <c r="J25" s="96"/>
      <c r="K25" s="36"/>
      <c r="L25" s="96"/>
      <c r="M25" s="97"/>
      <c r="N25" s="16"/>
      <c r="O25" s="96"/>
      <c r="P25" s="18"/>
    </row>
    <row r="26" spans="1:16" s="12" customFormat="1">
      <c r="A26" s="107"/>
      <c r="B26" s="121" t="s">
        <v>186</v>
      </c>
      <c r="C26" s="109"/>
      <c r="D26" s="111"/>
      <c r="E26" s="112"/>
      <c r="F26" s="113"/>
      <c r="G26" s="101"/>
      <c r="H26" s="101"/>
      <c r="I26" s="122"/>
      <c r="J26" s="96"/>
      <c r="K26" s="36"/>
      <c r="L26" s="96"/>
      <c r="M26" s="97"/>
      <c r="N26" s="16"/>
      <c r="O26" s="96"/>
      <c r="P26" s="18"/>
    </row>
    <row r="27" spans="1:16" s="12" customFormat="1" ht="45">
      <c r="A27" s="107"/>
      <c r="B27" s="123" t="s">
        <v>187</v>
      </c>
      <c r="C27" s="109">
        <v>0.4</v>
      </c>
      <c r="D27" s="111" t="s">
        <v>153</v>
      </c>
      <c r="E27" s="112">
        <v>0.65</v>
      </c>
      <c r="F27" s="113" t="s">
        <v>154</v>
      </c>
      <c r="G27" s="101" t="s">
        <v>155</v>
      </c>
      <c r="H27" s="101">
        <f>(499*E27+517*E27+358*E27+6890*0.05*E27)*1.05*1.051*1.051</f>
        <v>1295.56027862625</v>
      </c>
      <c r="I27" s="124">
        <v>1109.42</v>
      </c>
      <c r="J27" s="96"/>
      <c r="K27" s="36"/>
      <c r="L27" s="96"/>
      <c r="M27" s="97"/>
      <c r="N27" s="16"/>
      <c r="O27" s="96"/>
      <c r="P27" s="18"/>
    </row>
    <row r="28" spans="1:16" s="12" customFormat="1" ht="45">
      <c r="A28" s="107"/>
      <c r="B28" s="123" t="s">
        <v>188</v>
      </c>
      <c r="C28" s="109">
        <v>0.4</v>
      </c>
      <c r="D28" s="111" t="s">
        <v>153</v>
      </c>
      <c r="E28" s="112">
        <v>0.45</v>
      </c>
      <c r="F28" s="113" t="s">
        <v>154</v>
      </c>
      <c r="G28" s="101" t="s">
        <v>155</v>
      </c>
      <c r="H28" s="101">
        <f t="shared" ref="H28:H48" si="1">(499*E28+517*E28+358*E28+6890*0.05*E28)*1.05*1.051*1.051</f>
        <v>896.92634674124997</v>
      </c>
      <c r="I28" s="124">
        <v>768.06</v>
      </c>
      <c r="J28" s="96"/>
      <c r="K28" s="36"/>
      <c r="L28" s="96"/>
      <c r="M28" s="97"/>
      <c r="N28" s="16"/>
      <c r="O28" s="96"/>
      <c r="P28" s="18"/>
    </row>
    <row r="29" spans="1:16" s="12" customFormat="1" ht="45">
      <c r="A29" s="107"/>
      <c r="B29" s="123" t="s">
        <v>189</v>
      </c>
      <c r="C29" s="109">
        <v>0.4</v>
      </c>
      <c r="D29" s="111" t="s">
        <v>153</v>
      </c>
      <c r="E29" s="112">
        <v>0.52</v>
      </c>
      <c r="F29" s="113" t="s">
        <v>154</v>
      </c>
      <c r="G29" s="101" t="s">
        <v>155</v>
      </c>
      <c r="H29" s="101">
        <f t="shared" si="1"/>
        <v>1036.448222901</v>
      </c>
      <c r="I29" s="124">
        <v>887.53</v>
      </c>
      <c r="J29" s="96"/>
      <c r="K29" s="36"/>
      <c r="L29" s="96"/>
      <c r="M29" s="97"/>
      <c r="N29" s="16"/>
      <c r="O29" s="96"/>
      <c r="P29" s="18"/>
    </row>
    <row r="30" spans="1:16" s="12" customFormat="1" ht="45">
      <c r="A30" s="107"/>
      <c r="B30" s="123" t="s">
        <v>190</v>
      </c>
      <c r="C30" s="109">
        <v>0.4</v>
      </c>
      <c r="D30" s="111" t="s">
        <v>153</v>
      </c>
      <c r="E30" s="112">
        <v>0.8</v>
      </c>
      <c r="F30" s="113" t="s">
        <v>154</v>
      </c>
      <c r="G30" s="101" t="s">
        <v>155</v>
      </c>
      <c r="H30" s="101">
        <f t="shared" si="1"/>
        <v>1594.5357275399999</v>
      </c>
      <c r="I30" s="124">
        <v>1365.44</v>
      </c>
      <c r="J30" s="96"/>
      <c r="K30" s="36"/>
      <c r="L30" s="96"/>
      <c r="M30" s="97"/>
      <c r="N30" s="16"/>
      <c r="O30" s="96"/>
      <c r="P30" s="18"/>
    </row>
    <row r="31" spans="1:16" s="12" customFormat="1" ht="45">
      <c r="A31" s="107"/>
      <c r="B31" s="123" t="s">
        <v>191</v>
      </c>
      <c r="C31" s="109">
        <v>0.4</v>
      </c>
      <c r="D31" s="111" t="s">
        <v>153</v>
      </c>
      <c r="E31" s="112">
        <v>0.5</v>
      </c>
      <c r="F31" s="113" t="s">
        <v>154</v>
      </c>
      <c r="G31" s="101" t="s">
        <v>155</v>
      </c>
      <c r="H31" s="101">
        <f t="shared" si="1"/>
        <v>996.58482971249998</v>
      </c>
      <c r="I31" s="124">
        <v>853.4</v>
      </c>
      <c r="J31" s="96"/>
      <c r="K31" s="36"/>
      <c r="L31" s="96"/>
      <c r="M31" s="97"/>
      <c r="N31" s="16"/>
      <c r="O31" s="96"/>
      <c r="P31" s="18"/>
    </row>
    <row r="32" spans="1:16" s="12" customFormat="1" ht="45">
      <c r="A32" s="107"/>
      <c r="B32" s="114" t="s">
        <v>192</v>
      </c>
      <c r="C32" s="109">
        <v>0.4</v>
      </c>
      <c r="D32" s="111" t="s">
        <v>153</v>
      </c>
      <c r="E32" s="112">
        <v>0.9</v>
      </c>
      <c r="F32" s="113" t="s">
        <v>154</v>
      </c>
      <c r="G32" s="101" t="s">
        <v>155</v>
      </c>
      <c r="H32" s="101">
        <f t="shared" si="1"/>
        <v>1793.8526934824999</v>
      </c>
      <c r="I32" s="124">
        <v>1536.12</v>
      </c>
      <c r="J32" s="96"/>
      <c r="K32" s="36"/>
      <c r="L32" s="96"/>
      <c r="M32" s="97"/>
      <c r="N32" s="16"/>
      <c r="O32" s="96"/>
      <c r="P32" s="18"/>
    </row>
    <row r="33" spans="1:16" s="12" customFormat="1" ht="45">
      <c r="A33" s="107"/>
      <c r="B33" s="114" t="s">
        <v>193</v>
      </c>
      <c r="C33" s="109">
        <v>0.4</v>
      </c>
      <c r="D33" s="111" t="s">
        <v>153</v>
      </c>
      <c r="E33" s="112">
        <v>0.9</v>
      </c>
      <c r="F33" s="113" t="s">
        <v>154</v>
      </c>
      <c r="G33" s="101" t="s">
        <v>155</v>
      </c>
      <c r="H33" s="101">
        <f t="shared" si="1"/>
        <v>1793.8526934824999</v>
      </c>
      <c r="I33" s="124">
        <v>1536.12</v>
      </c>
      <c r="J33" s="96"/>
      <c r="K33" s="36"/>
      <c r="L33" s="96"/>
      <c r="M33" s="97"/>
      <c r="N33" s="16"/>
      <c r="O33" s="96"/>
      <c r="P33" s="18"/>
    </row>
    <row r="34" spans="1:16" s="12" customFormat="1" ht="45">
      <c r="A34" s="107"/>
      <c r="B34" s="114" t="s">
        <v>194</v>
      </c>
      <c r="C34" s="109">
        <v>0.4</v>
      </c>
      <c r="D34" s="111" t="s">
        <v>153</v>
      </c>
      <c r="E34" s="112">
        <v>1.1000000000000001</v>
      </c>
      <c r="F34" s="113" t="s">
        <v>154</v>
      </c>
      <c r="G34" s="101" t="s">
        <v>155</v>
      </c>
      <c r="H34" s="101">
        <f t="shared" si="1"/>
        <v>2192.4866253675</v>
      </c>
      <c r="I34" s="124">
        <v>1877.48</v>
      </c>
      <c r="J34" s="96"/>
      <c r="K34" s="36"/>
      <c r="L34" s="96"/>
      <c r="M34" s="97"/>
      <c r="N34" s="16"/>
      <c r="O34" s="96"/>
      <c r="P34" s="18"/>
    </row>
    <row r="35" spans="1:16" s="12" customFormat="1" ht="45">
      <c r="A35" s="107"/>
      <c r="B35" s="114" t="s">
        <v>195</v>
      </c>
      <c r="C35" s="109">
        <v>0.4</v>
      </c>
      <c r="D35" s="111" t="s">
        <v>153</v>
      </c>
      <c r="E35" s="112">
        <v>1.2</v>
      </c>
      <c r="F35" s="113" t="s">
        <v>154</v>
      </c>
      <c r="G35" s="101" t="s">
        <v>155</v>
      </c>
      <c r="H35" s="101">
        <f t="shared" si="1"/>
        <v>2391.8035913099998</v>
      </c>
      <c r="I35" s="124">
        <v>2048.16</v>
      </c>
      <c r="J35" s="96"/>
      <c r="K35" s="36"/>
      <c r="L35" s="96"/>
      <c r="M35" s="97"/>
      <c r="N35" s="16"/>
      <c r="O35" s="96"/>
      <c r="P35" s="18"/>
    </row>
    <row r="36" spans="1:16" s="12" customFormat="1" ht="45">
      <c r="A36" s="107"/>
      <c r="B36" s="114" t="s">
        <v>196</v>
      </c>
      <c r="C36" s="109">
        <v>0.4</v>
      </c>
      <c r="D36" s="111" t="s">
        <v>153</v>
      </c>
      <c r="E36" s="112">
        <v>0.5</v>
      </c>
      <c r="F36" s="113" t="s">
        <v>154</v>
      </c>
      <c r="G36" s="101" t="s">
        <v>155</v>
      </c>
      <c r="H36" s="101">
        <f t="shared" si="1"/>
        <v>996.58482971249998</v>
      </c>
      <c r="I36" s="124">
        <v>853.4</v>
      </c>
      <c r="J36" s="96"/>
      <c r="K36" s="36"/>
      <c r="L36" s="96"/>
      <c r="M36" s="97"/>
      <c r="N36" s="16"/>
      <c r="O36" s="96"/>
      <c r="P36" s="18"/>
    </row>
    <row r="37" spans="1:16" s="12" customFormat="1" ht="45">
      <c r="A37" s="107"/>
      <c r="B37" s="114" t="s">
        <v>197</v>
      </c>
      <c r="C37" s="109">
        <v>0.4</v>
      </c>
      <c r="D37" s="111" t="s">
        <v>153</v>
      </c>
      <c r="E37" s="112">
        <v>1.1000000000000001</v>
      </c>
      <c r="F37" s="113" t="s">
        <v>154</v>
      </c>
      <c r="G37" s="101" t="s">
        <v>155</v>
      </c>
      <c r="H37" s="101">
        <f t="shared" si="1"/>
        <v>2192.4866253675</v>
      </c>
      <c r="I37" s="124">
        <v>1877.48</v>
      </c>
      <c r="J37" s="96"/>
      <c r="K37" s="36"/>
      <c r="L37" s="96"/>
      <c r="M37" s="97"/>
      <c r="N37" s="16"/>
      <c r="O37" s="96"/>
      <c r="P37" s="18"/>
    </row>
    <row r="38" spans="1:16" s="12" customFormat="1" ht="45">
      <c r="A38" s="107"/>
      <c r="B38" s="114" t="s">
        <v>198</v>
      </c>
      <c r="C38" s="109">
        <v>0.4</v>
      </c>
      <c r="D38" s="111" t="s">
        <v>153</v>
      </c>
      <c r="E38" s="112">
        <v>1.1839999999999999</v>
      </c>
      <c r="F38" s="113" t="s">
        <v>154</v>
      </c>
      <c r="G38" s="101" t="s">
        <v>155</v>
      </c>
      <c r="H38" s="101">
        <f t="shared" si="1"/>
        <v>2359.9128767591997</v>
      </c>
      <c r="I38" s="124">
        <v>2020.85</v>
      </c>
      <c r="J38" s="96"/>
      <c r="K38" s="36"/>
      <c r="L38" s="96"/>
      <c r="M38" s="97"/>
      <c r="N38" s="16"/>
      <c r="O38" s="96"/>
      <c r="P38" s="18"/>
    </row>
    <row r="39" spans="1:16" s="12" customFormat="1" ht="45">
      <c r="A39" s="107"/>
      <c r="B39" s="114" t="s">
        <v>199</v>
      </c>
      <c r="C39" s="109">
        <v>0.4</v>
      </c>
      <c r="D39" s="111" t="s">
        <v>153</v>
      </c>
      <c r="E39" s="112">
        <v>0.6</v>
      </c>
      <c r="F39" s="113" t="s">
        <v>154</v>
      </c>
      <c r="G39" s="101" t="s">
        <v>155</v>
      </c>
      <c r="H39" s="101">
        <f t="shared" si="1"/>
        <v>1195.9017956549999</v>
      </c>
      <c r="I39" s="124">
        <v>1024.08</v>
      </c>
      <c r="J39" s="96"/>
      <c r="K39" s="36"/>
      <c r="L39" s="96"/>
      <c r="M39" s="97"/>
      <c r="N39" s="16"/>
      <c r="O39" s="96"/>
      <c r="P39" s="18"/>
    </row>
    <row r="40" spans="1:16" s="12" customFormat="1" ht="45">
      <c r="A40" s="107"/>
      <c r="B40" s="115" t="s">
        <v>201</v>
      </c>
      <c r="C40" s="109">
        <v>0.4</v>
      </c>
      <c r="D40" s="111" t="s">
        <v>153</v>
      </c>
      <c r="E40" s="116">
        <v>0.36899999999999999</v>
      </c>
      <c r="F40" s="113" t="s">
        <v>154</v>
      </c>
      <c r="G40" s="101" t="s">
        <v>155</v>
      </c>
      <c r="H40" s="101">
        <f t="shared" si="1"/>
        <v>735.47960432782486</v>
      </c>
      <c r="I40" s="120">
        <v>629.80999999999995</v>
      </c>
      <c r="J40" s="96"/>
      <c r="K40" s="36"/>
      <c r="L40" s="96"/>
      <c r="M40" s="97"/>
      <c r="N40" s="16"/>
      <c r="O40" s="96"/>
      <c r="P40" s="18"/>
    </row>
    <row r="41" spans="1:16" s="12" customFormat="1" ht="45">
      <c r="A41" s="107"/>
      <c r="B41" s="115" t="s">
        <v>202</v>
      </c>
      <c r="C41" s="109">
        <v>0.4</v>
      </c>
      <c r="D41" s="111" t="s">
        <v>153</v>
      </c>
      <c r="E41" s="116">
        <v>0.23200000000000001</v>
      </c>
      <c r="F41" s="113" t="s">
        <v>154</v>
      </c>
      <c r="G41" s="101" t="s">
        <v>155</v>
      </c>
      <c r="H41" s="101">
        <f t="shared" si="1"/>
        <v>462.41536098660004</v>
      </c>
      <c r="I41" s="120">
        <v>395.98</v>
      </c>
      <c r="J41" s="96"/>
      <c r="K41" s="36"/>
      <c r="L41" s="96"/>
      <c r="M41" s="97"/>
      <c r="N41" s="16"/>
      <c r="O41" s="96"/>
      <c r="P41" s="18"/>
    </row>
    <row r="42" spans="1:16" s="12" customFormat="1" ht="45">
      <c r="A42" s="107"/>
      <c r="B42" s="106" t="s">
        <v>204</v>
      </c>
      <c r="C42" s="109">
        <v>0.4</v>
      </c>
      <c r="D42" s="111" t="s">
        <v>153</v>
      </c>
      <c r="E42" s="112">
        <v>1.8</v>
      </c>
      <c r="F42" s="113" t="s">
        <v>154</v>
      </c>
      <c r="G42" s="101" t="s">
        <v>155</v>
      </c>
      <c r="H42" s="101">
        <f t="shared" si="1"/>
        <v>3587.7053869649999</v>
      </c>
      <c r="I42" s="118">
        <v>2923.1640000000002</v>
      </c>
      <c r="J42" s="96"/>
      <c r="K42" s="36"/>
      <c r="L42" s="96"/>
      <c r="M42" s="97"/>
      <c r="N42" s="16"/>
      <c r="O42" s="96"/>
      <c r="P42" s="18"/>
    </row>
    <row r="43" spans="1:16" s="12" customFormat="1" ht="45">
      <c r="A43" s="107"/>
      <c r="B43" s="106" t="s">
        <v>205</v>
      </c>
      <c r="C43" s="109">
        <v>0.4</v>
      </c>
      <c r="D43" s="111" t="s">
        <v>153</v>
      </c>
      <c r="E43" s="112">
        <v>1.3</v>
      </c>
      <c r="F43" s="113" t="s">
        <v>154</v>
      </c>
      <c r="G43" s="101" t="s">
        <v>155</v>
      </c>
      <c r="H43" s="101">
        <f t="shared" si="1"/>
        <v>2591.1205572525</v>
      </c>
      <c r="I43" s="118">
        <v>2111.174</v>
      </c>
      <c r="J43" s="96"/>
      <c r="K43" s="36"/>
      <c r="L43" s="96"/>
      <c r="M43" s="97"/>
      <c r="N43" s="16"/>
      <c r="O43" s="96"/>
      <c r="P43" s="18"/>
    </row>
    <row r="44" spans="1:16" s="12" customFormat="1" ht="45">
      <c r="A44" s="107"/>
      <c r="B44" s="106" t="s">
        <v>206</v>
      </c>
      <c r="C44" s="109">
        <v>0.4</v>
      </c>
      <c r="D44" s="111" t="s">
        <v>153</v>
      </c>
      <c r="E44" s="112">
        <v>1.4</v>
      </c>
      <c r="F44" s="113" t="s">
        <v>154</v>
      </c>
      <c r="G44" s="101" t="s">
        <v>155</v>
      </c>
      <c r="H44" s="101">
        <f t="shared" si="1"/>
        <v>2790.4375231949994</v>
      </c>
      <c r="I44" s="118">
        <v>2273.5719999999997</v>
      </c>
      <c r="J44" s="96"/>
      <c r="K44" s="36"/>
      <c r="L44" s="96"/>
      <c r="M44" s="97"/>
      <c r="N44" s="16"/>
      <c r="O44" s="96"/>
      <c r="P44" s="18"/>
    </row>
    <row r="45" spans="1:16" s="12" customFormat="1" ht="45">
      <c r="A45" s="107"/>
      <c r="B45" s="106" t="s">
        <v>207</v>
      </c>
      <c r="C45" s="109">
        <v>0.4</v>
      </c>
      <c r="D45" s="111" t="s">
        <v>153</v>
      </c>
      <c r="E45" s="112">
        <v>0.7</v>
      </c>
      <c r="F45" s="113" t="s">
        <v>154</v>
      </c>
      <c r="G45" s="101" t="s">
        <v>155</v>
      </c>
      <c r="H45" s="101">
        <f t="shared" si="1"/>
        <v>1395.2187615974997</v>
      </c>
      <c r="I45" s="118">
        <v>1136.7859999999998</v>
      </c>
      <c r="J45" s="96"/>
      <c r="K45" s="36"/>
      <c r="L45" s="96"/>
      <c r="M45" s="97"/>
      <c r="N45" s="16"/>
      <c r="O45" s="96"/>
      <c r="P45" s="18"/>
    </row>
    <row r="46" spans="1:16" s="12" customFormat="1" ht="45">
      <c r="A46" s="107"/>
      <c r="B46" s="106" t="s">
        <v>208</v>
      </c>
      <c r="C46" s="109">
        <v>0.4</v>
      </c>
      <c r="D46" s="111" t="s">
        <v>153</v>
      </c>
      <c r="E46" s="112">
        <v>0.5</v>
      </c>
      <c r="F46" s="113" t="s">
        <v>154</v>
      </c>
      <c r="G46" s="101" t="s">
        <v>155</v>
      </c>
      <c r="H46" s="101">
        <f t="shared" si="1"/>
        <v>996.58482971249998</v>
      </c>
      <c r="I46" s="118">
        <v>811.99</v>
      </c>
      <c r="J46" s="96"/>
      <c r="K46" s="36"/>
      <c r="L46" s="96"/>
      <c r="M46" s="97"/>
      <c r="N46" s="16"/>
      <c r="O46" s="96"/>
      <c r="P46" s="18"/>
    </row>
    <row r="47" spans="1:16" s="12" customFormat="1" ht="45">
      <c r="A47" s="107"/>
      <c r="B47" s="106" t="s">
        <v>209</v>
      </c>
      <c r="C47" s="109">
        <v>0.4</v>
      </c>
      <c r="D47" s="111" t="s">
        <v>153</v>
      </c>
      <c r="E47" s="112">
        <v>1.6</v>
      </c>
      <c r="F47" s="113" t="s">
        <v>154</v>
      </c>
      <c r="G47" s="101" t="s">
        <v>155</v>
      </c>
      <c r="H47" s="101">
        <f t="shared" si="1"/>
        <v>3189.0714550799999</v>
      </c>
      <c r="I47" s="118">
        <v>2598.3680000000004</v>
      </c>
      <c r="J47" s="96"/>
      <c r="K47" s="36"/>
      <c r="L47" s="96"/>
      <c r="M47" s="97"/>
      <c r="N47" s="16"/>
      <c r="O47" s="96"/>
      <c r="P47" s="18"/>
    </row>
    <row r="48" spans="1:16" s="12" customFormat="1" ht="45">
      <c r="A48" s="107"/>
      <c r="B48" s="106" t="s">
        <v>211</v>
      </c>
      <c r="C48" s="109">
        <v>0.4</v>
      </c>
      <c r="D48" s="111" t="s">
        <v>153</v>
      </c>
      <c r="E48" s="112">
        <v>1.8</v>
      </c>
      <c r="F48" s="113" t="s">
        <v>154</v>
      </c>
      <c r="G48" s="101" t="s">
        <v>155</v>
      </c>
      <c r="H48" s="101">
        <f t="shared" si="1"/>
        <v>3587.7053869649999</v>
      </c>
      <c r="I48" s="118">
        <v>2923.1640000000002</v>
      </c>
      <c r="J48" s="96"/>
      <c r="K48" s="36"/>
      <c r="L48" s="96"/>
      <c r="M48" s="97"/>
      <c r="N48" s="16"/>
      <c r="O48" s="96"/>
      <c r="P48" s="18"/>
    </row>
    <row r="49" spans="1:16" s="12" customFormat="1" ht="105">
      <c r="A49" s="107"/>
      <c r="B49" s="119" t="s">
        <v>172</v>
      </c>
      <c r="C49" s="109">
        <v>0.4</v>
      </c>
      <c r="D49" s="111" t="s">
        <v>153</v>
      </c>
      <c r="E49" s="112">
        <v>40.28</v>
      </c>
      <c r="F49" s="113" t="s">
        <v>154</v>
      </c>
      <c r="G49" s="101" t="s">
        <v>155</v>
      </c>
      <c r="H49" s="101">
        <f>(499*E49+517*E49+358*E49+6890*0.05)*1.05*1.051*1.051</f>
        <v>64590.086506280997</v>
      </c>
      <c r="I49" s="120">
        <v>47524.93</v>
      </c>
      <c r="J49" s="96"/>
      <c r="K49" s="36"/>
      <c r="L49" s="96"/>
      <c r="M49" s="97"/>
      <c r="N49" s="16"/>
      <c r="O49" s="96"/>
      <c r="P49" s="18"/>
    </row>
    <row r="50" spans="1:16" s="12" customFormat="1" ht="105">
      <c r="A50" s="107"/>
      <c r="B50" s="121" t="s">
        <v>182</v>
      </c>
      <c r="C50" s="109">
        <v>0.4</v>
      </c>
      <c r="D50" s="111" t="s">
        <v>153</v>
      </c>
      <c r="E50" s="112">
        <v>28.58</v>
      </c>
      <c r="F50" s="113" t="s">
        <v>154</v>
      </c>
      <c r="G50" s="101" t="s">
        <v>155</v>
      </c>
      <c r="H50" s="101">
        <f>(499*E50+517*E50+358*E50+6890*0.1*E50)*1.05*1.051*1.051</f>
        <v>68384.265016766978</v>
      </c>
      <c r="I50" s="122">
        <v>46556.800000000003</v>
      </c>
      <c r="J50" s="96"/>
      <c r="K50" s="36"/>
      <c r="L50" s="96"/>
      <c r="M50" s="97"/>
      <c r="N50" s="16"/>
      <c r="O50" s="96"/>
      <c r="P50" s="18"/>
    </row>
    <row r="51" spans="1:16" s="12" customFormat="1" ht="60">
      <c r="A51" s="107"/>
      <c r="B51" s="121" t="s">
        <v>184</v>
      </c>
      <c r="C51" s="109">
        <v>0.4</v>
      </c>
      <c r="D51" s="111" t="s">
        <v>153</v>
      </c>
      <c r="E51" s="112">
        <v>8.11</v>
      </c>
      <c r="F51" s="113" t="s">
        <v>154</v>
      </c>
      <c r="G51" s="101" t="s">
        <v>155</v>
      </c>
      <c r="H51" s="101">
        <f>(499*E51+517*E51+358*E51+6890*0.1)*1.05*1.051*1.051</f>
        <v>13723.283359946998</v>
      </c>
      <c r="I51" s="120">
        <v>13218.75</v>
      </c>
      <c r="J51" s="96"/>
      <c r="K51" s="36"/>
      <c r="L51" s="96"/>
      <c r="M51" s="97"/>
      <c r="N51" s="16"/>
      <c r="O51" s="96"/>
      <c r="P51" s="18"/>
    </row>
    <row r="52" spans="1:16" s="12" customFormat="1">
      <c r="A52" s="107"/>
      <c r="B52" s="125" t="s">
        <v>213</v>
      </c>
      <c r="C52" s="109"/>
      <c r="D52" s="111"/>
      <c r="E52" s="109"/>
      <c r="F52" s="113"/>
      <c r="G52" s="126"/>
      <c r="H52" s="101"/>
      <c r="I52" s="122"/>
      <c r="J52" s="96"/>
      <c r="K52" s="36"/>
      <c r="L52" s="96"/>
      <c r="M52" s="97"/>
      <c r="N52" s="16"/>
      <c r="O52" s="96"/>
      <c r="P52" s="18"/>
    </row>
    <row r="53" spans="1:16" s="12" customFormat="1" ht="45">
      <c r="A53" s="107"/>
      <c r="B53" s="114" t="s">
        <v>214</v>
      </c>
      <c r="C53" s="109">
        <v>0.4</v>
      </c>
      <c r="D53" s="111" t="s">
        <v>153</v>
      </c>
      <c r="E53" s="112">
        <v>0.3</v>
      </c>
      <c r="F53" s="113" t="s">
        <v>154</v>
      </c>
      <c r="G53" s="101" t="s">
        <v>155</v>
      </c>
      <c r="H53" s="101">
        <f>(499*E53+517*E53+358*E53+6890*0.05*E53)*1.05*1.051*1.051*1.054</f>
        <v>630.24024631018494</v>
      </c>
      <c r="I53" s="112">
        <v>539.69000000000005</v>
      </c>
      <c r="J53" s="96"/>
      <c r="K53" s="36"/>
      <c r="L53" s="96"/>
      <c r="M53" s="97"/>
      <c r="N53" s="16"/>
      <c r="O53" s="96"/>
      <c r="P53" s="18"/>
    </row>
    <row r="54" spans="1:16" s="12" customFormat="1" ht="45">
      <c r="A54" s="107"/>
      <c r="B54" s="114" t="s">
        <v>215</v>
      </c>
      <c r="C54" s="109">
        <v>0.4</v>
      </c>
      <c r="D54" s="111" t="s">
        <v>153</v>
      </c>
      <c r="E54" s="112">
        <v>1.6</v>
      </c>
      <c r="F54" s="113" t="s">
        <v>154</v>
      </c>
      <c r="G54" s="101" t="s">
        <v>155</v>
      </c>
      <c r="H54" s="101">
        <f>(499*E54+517*E54+358*E54+6890*0.05*E54)*1.05*1.051*1.051*1.054</f>
        <v>3361.28131365432</v>
      </c>
      <c r="I54" s="112">
        <v>2878.35</v>
      </c>
      <c r="J54" s="96"/>
      <c r="K54" s="36"/>
      <c r="L54" s="96"/>
      <c r="M54" s="97"/>
      <c r="N54" s="16"/>
      <c r="O54" s="96"/>
      <c r="P54" s="18"/>
    </row>
    <row r="55" spans="1:16" s="12" customFormat="1" ht="45">
      <c r="A55" s="107"/>
      <c r="B55" s="114" t="s">
        <v>216</v>
      </c>
      <c r="C55" s="109">
        <v>0.4</v>
      </c>
      <c r="D55" s="111" t="s">
        <v>153</v>
      </c>
      <c r="E55" s="112">
        <v>1.3</v>
      </c>
      <c r="F55" s="113" t="s">
        <v>154</v>
      </c>
      <c r="G55" s="101" t="s">
        <v>155</v>
      </c>
      <c r="H55" s="101">
        <f t="shared" ref="H55:H75" si="2">(499*E55+517*E55+358*E55+6890*0.05*E55)*1.05*1.051*1.051*1.054</f>
        <v>2731.0410673441352</v>
      </c>
      <c r="I55" s="112">
        <v>2338.66</v>
      </c>
      <c r="J55" s="96"/>
      <c r="K55" s="36"/>
      <c r="L55" s="96"/>
      <c r="M55" s="97"/>
      <c r="N55" s="16"/>
      <c r="O55" s="96"/>
      <c r="P55" s="18"/>
    </row>
    <row r="56" spans="1:16" s="12" customFormat="1" ht="45">
      <c r="A56" s="107"/>
      <c r="B56" s="114" t="s">
        <v>218</v>
      </c>
      <c r="C56" s="109">
        <v>0.4</v>
      </c>
      <c r="D56" s="111" t="s">
        <v>153</v>
      </c>
      <c r="E56" s="127">
        <v>0.45600000000000002</v>
      </c>
      <c r="F56" s="113" t="s">
        <v>154</v>
      </c>
      <c r="G56" s="101" t="s">
        <v>155</v>
      </c>
      <c r="H56" s="101">
        <f t="shared" si="2"/>
        <v>957.96517439148124</v>
      </c>
      <c r="I56" s="127">
        <v>820.33</v>
      </c>
      <c r="J56" s="96"/>
      <c r="K56" s="36"/>
      <c r="L56" s="96"/>
      <c r="M56" s="97"/>
      <c r="N56" s="16"/>
      <c r="O56" s="96"/>
      <c r="P56" s="18"/>
    </row>
    <row r="57" spans="1:16" s="12" customFormat="1" ht="45">
      <c r="A57" s="107"/>
      <c r="B57" s="114" t="s">
        <v>219</v>
      </c>
      <c r="C57" s="109">
        <v>0.4</v>
      </c>
      <c r="D57" s="111" t="s">
        <v>153</v>
      </c>
      <c r="E57" s="127">
        <v>0.6</v>
      </c>
      <c r="F57" s="113" t="s">
        <v>154</v>
      </c>
      <c r="G57" s="101" t="s">
        <v>155</v>
      </c>
      <c r="H57" s="101">
        <f t="shared" si="2"/>
        <v>1260.4804926203699</v>
      </c>
      <c r="I57" s="127">
        <v>1079.3800000000001</v>
      </c>
      <c r="J57" s="96"/>
      <c r="K57" s="36"/>
      <c r="L57" s="96"/>
      <c r="M57" s="97"/>
      <c r="N57" s="16"/>
      <c r="O57" s="96"/>
      <c r="P57" s="18"/>
    </row>
    <row r="58" spans="1:16" s="12" customFormat="1" ht="45">
      <c r="A58" s="107"/>
      <c r="B58" s="114" t="s">
        <v>220</v>
      </c>
      <c r="C58" s="109">
        <v>0.4</v>
      </c>
      <c r="D58" s="111" t="s">
        <v>153</v>
      </c>
      <c r="E58" s="112">
        <v>0.35</v>
      </c>
      <c r="F58" s="113" t="s">
        <v>154</v>
      </c>
      <c r="G58" s="101" t="s">
        <v>155</v>
      </c>
      <c r="H58" s="101">
        <f t="shared" si="2"/>
        <v>735.28028736188242</v>
      </c>
      <c r="I58" s="112">
        <v>623.63</v>
      </c>
      <c r="J58" s="96"/>
      <c r="K58" s="36"/>
      <c r="L58" s="96"/>
      <c r="M58" s="97"/>
      <c r="N58" s="16"/>
      <c r="O58" s="96"/>
      <c r="P58" s="18"/>
    </row>
    <row r="59" spans="1:16" s="12" customFormat="1" ht="45">
      <c r="A59" s="107"/>
      <c r="B59" s="114" t="s">
        <v>221</v>
      </c>
      <c r="C59" s="109">
        <v>0.4</v>
      </c>
      <c r="D59" s="111" t="s">
        <v>153</v>
      </c>
      <c r="E59" s="112">
        <v>0.25</v>
      </c>
      <c r="F59" s="113" t="s">
        <v>154</v>
      </c>
      <c r="G59" s="101" t="s">
        <v>155</v>
      </c>
      <c r="H59" s="101">
        <f t="shared" si="2"/>
        <v>525.20020525848747</v>
      </c>
      <c r="I59" s="112">
        <v>449.74</v>
      </c>
      <c r="J59" s="96"/>
      <c r="K59" s="36"/>
      <c r="L59" s="96"/>
      <c r="M59" s="97"/>
      <c r="N59" s="16"/>
      <c r="O59" s="96"/>
      <c r="P59" s="18"/>
    </row>
    <row r="60" spans="1:16" s="12" customFormat="1" ht="45">
      <c r="A60" s="107"/>
      <c r="B60" s="114" t="s">
        <v>222</v>
      </c>
      <c r="C60" s="109">
        <v>0.4</v>
      </c>
      <c r="D60" s="111" t="s">
        <v>153</v>
      </c>
      <c r="E60" s="128">
        <v>0.4</v>
      </c>
      <c r="F60" s="113" t="s">
        <v>154</v>
      </c>
      <c r="G60" s="101" t="s">
        <v>155</v>
      </c>
      <c r="H60" s="101">
        <f t="shared" si="2"/>
        <v>840.32032841358</v>
      </c>
      <c r="I60" s="112">
        <v>719.59</v>
      </c>
      <c r="J60" s="96"/>
      <c r="K60" s="36"/>
      <c r="L60" s="96"/>
      <c r="M60" s="97"/>
      <c r="N60" s="16"/>
      <c r="O60" s="96"/>
      <c r="P60" s="18"/>
    </row>
    <row r="61" spans="1:16" s="12" customFormat="1" ht="45">
      <c r="A61" s="107"/>
      <c r="B61" s="114" t="s">
        <v>223</v>
      </c>
      <c r="C61" s="109">
        <v>0.4</v>
      </c>
      <c r="D61" s="111" t="s">
        <v>153</v>
      </c>
      <c r="E61" s="128">
        <v>0.4</v>
      </c>
      <c r="F61" s="113" t="s">
        <v>154</v>
      </c>
      <c r="G61" s="101" t="s">
        <v>155</v>
      </c>
      <c r="H61" s="101">
        <f t="shared" si="2"/>
        <v>840.32032841358</v>
      </c>
      <c r="I61" s="112">
        <v>719.59</v>
      </c>
      <c r="J61" s="96"/>
      <c r="K61" s="36"/>
      <c r="L61" s="96"/>
      <c r="M61" s="97"/>
      <c r="N61" s="16"/>
      <c r="O61" s="96"/>
      <c r="P61" s="18"/>
    </row>
    <row r="62" spans="1:16" s="12" customFormat="1" ht="45">
      <c r="A62" s="107"/>
      <c r="B62" s="114" t="s">
        <v>224</v>
      </c>
      <c r="C62" s="109">
        <v>0.4</v>
      </c>
      <c r="D62" s="111" t="s">
        <v>153</v>
      </c>
      <c r="E62" s="128">
        <v>0.22</v>
      </c>
      <c r="F62" s="113" t="s">
        <v>154</v>
      </c>
      <c r="G62" s="101" t="s">
        <v>155</v>
      </c>
      <c r="H62" s="101">
        <f t="shared" si="2"/>
        <v>462.17618062746897</v>
      </c>
      <c r="I62" s="112">
        <v>395.77</v>
      </c>
      <c r="J62" s="96"/>
      <c r="K62" s="36"/>
      <c r="L62" s="96"/>
      <c r="M62" s="97"/>
      <c r="N62" s="16"/>
      <c r="O62" s="96"/>
      <c r="P62" s="18"/>
    </row>
    <row r="63" spans="1:16" s="12" customFormat="1" ht="45">
      <c r="A63" s="107"/>
      <c r="B63" s="114" t="s">
        <v>225</v>
      </c>
      <c r="C63" s="109">
        <v>0.4</v>
      </c>
      <c r="D63" s="111" t="s">
        <v>153</v>
      </c>
      <c r="E63" s="128">
        <v>0.4</v>
      </c>
      <c r="F63" s="113" t="s">
        <v>154</v>
      </c>
      <c r="G63" s="101" t="s">
        <v>155</v>
      </c>
      <c r="H63" s="101">
        <f t="shared" si="2"/>
        <v>840.32032841358</v>
      </c>
      <c r="I63" s="112">
        <v>719.59</v>
      </c>
      <c r="J63" s="96"/>
      <c r="K63" s="36"/>
      <c r="L63" s="96"/>
      <c r="M63" s="97"/>
      <c r="N63" s="16"/>
      <c r="O63" s="96"/>
      <c r="P63" s="18"/>
    </row>
    <row r="64" spans="1:16" s="12" customFormat="1" ht="45">
      <c r="A64" s="107"/>
      <c r="B64" s="114" t="s">
        <v>226</v>
      </c>
      <c r="C64" s="109">
        <v>0.4</v>
      </c>
      <c r="D64" s="111" t="s">
        <v>153</v>
      </c>
      <c r="E64" s="128">
        <v>1</v>
      </c>
      <c r="F64" s="113" t="s">
        <v>154</v>
      </c>
      <c r="G64" s="101" t="s">
        <v>155</v>
      </c>
      <c r="H64" s="101">
        <f t="shared" si="2"/>
        <v>2100.8008210339499</v>
      </c>
      <c r="I64" s="112">
        <v>1798.97</v>
      </c>
      <c r="J64" s="96"/>
      <c r="K64" s="36"/>
      <c r="L64" s="96"/>
      <c r="M64" s="97"/>
      <c r="N64" s="16"/>
      <c r="O64" s="96"/>
      <c r="P64" s="18"/>
    </row>
    <row r="65" spans="1:16" s="12" customFormat="1" ht="45">
      <c r="A65" s="107"/>
      <c r="B65" s="129" t="s">
        <v>227</v>
      </c>
      <c r="C65" s="109">
        <v>0.4</v>
      </c>
      <c r="D65" s="111" t="s">
        <v>153</v>
      </c>
      <c r="E65" s="112">
        <v>0.75</v>
      </c>
      <c r="F65" s="113" t="s">
        <v>154</v>
      </c>
      <c r="G65" s="101" t="s">
        <v>155</v>
      </c>
      <c r="H65" s="101">
        <f t="shared" si="2"/>
        <v>1575.6006157754625</v>
      </c>
      <c r="I65" s="130">
        <v>1349.2275</v>
      </c>
      <c r="J65" s="96"/>
      <c r="K65" s="36"/>
      <c r="L65" s="96"/>
      <c r="M65" s="97"/>
      <c r="N65" s="16"/>
      <c r="O65" s="96"/>
      <c r="P65" s="18"/>
    </row>
    <row r="66" spans="1:16" s="12" customFormat="1" ht="45">
      <c r="A66" s="107"/>
      <c r="B66" s="106" t="s">
        <v>228</v>
      </c>
      <c r="C66" s="109">
        <v>0.4</v>
      </c>
      <c r="D66" s="111" t="s">
        <v>153</v>
      </c>
      <c r="E66" s="112">
        <v>1</v>
      </c>
      <c r="F66" s="113" t="s">
        <v>154</v>
      </c>
      <c r="G66" s="101" t="s">
        <v>155</v>
      </c>
      <c r="H66" s="101">
        <f t="shared" si="2"/>
        <v>2100.8008210339499</v>
      </c>
      <c r="I66" s="131">
        <v>1623.98</v>
      </c>
      <c r="J66" s="96"/>
      <c r="K66" s="36"/>
      <c r="L66" s="96"/>
      <c r="M66" s="97"/>
      <c r="N66" s="16"/>
      <c r="O66" s="96"/>
      <c r="P66" s="18"/>
    </row>
    <row r="67" spans="1:16" s="12" customFormat="1" ht="45">
      <c r="A67" s="107"/>
      <c r="B67" s="106" t="s">
        <v>229</v>
      </c>
      <c r="C67" s="109">
        <v>0.4</v>
      </c>
      <c r="D67" s="111" t="s">
        <v>153</v>
      </c>
      <c r="E67" s="112">
        <v>1</v>
      </c>
      <c r="F67" s="113" t="s">
        <v>154</v>
      </c>
      <c r="G67" s="101" t="s">
        <v>155</v>
      </c>
      <c r="H67" s="101">
        <f t="shared" si="2"/>
        <v>2100.8008210339499</v>
      </c>
      <c r="I67" s="131">
        <v>1623.98</v>
      </c>
      <c r="J67" s="96"/>
      <c r="K67" s="36"/>
      <c r="L67" s="96"/>
      <c r="M67" s="97"/>
      <c r="N67" s="16"/>
      <c r="O67" s="96"/>
      <c r="P67" s="18"/>
    </row>
    <row r="68" spans="1:16" s="12" customFormat="1" ht="45">
      <c r="A68" s="107"/>
      <c r="B68" s="106" t="s">
        <v>230</v>
      </c>
      <c r="C68" s="109">
        <v>0.4</v>
      </c>
      <c r="D68" s="111" t="s">
        <v>153</v>
      </c>
      <c r="E68" s="112">
        <v>0.8</v>
      </c>
      <c r="F68" s="113" t="s">
        <v>154</v>
      </c>
      <c r="G68" s="101" t="s">
        <v>155</v>
      </c>
      <c r="H68" s="101">
        <f t="shared" si="2"/>
        <v>1680.64065682716</v>
      </c>
      <c r="I68" s="131">
        <v>1299.1840000000002</v>
      </c>
      <c r="J68" s="96"/>
      <c r="K68" s="36"/>
      <c r="L68" s="96"/>
      <c r="M68" s="97"/>
      <c r="N68" s="16"/>
      <c r="O68" s="96"/>
      <c r="P68" s="18"/>
    </row>
    <row r="69" spans="1:16" s="12" customFormat="1" ht="45">
      <c r="A69" s="107"/>
      <c r="B69" s="106" t="s">
        <v>231</v>
      </c>
      <c r="C69" s="109">
        <v>0.4</v>
      </c>
      <c r="D69" s="111" t="s">
        <v>153</v>
      </c>
      <c r="E69" s="112">
        <v>0.8</v>
      </c>
      <c r="F69" s="113" t="s">
        <v>154</v>
      </c>
      <c r="G69" s="101" t="s">
        <v>155</v>
      </c>
      <c r="H69" s="101">
        <f t="shared" si="2"/>
        <v>1680.64065682716</v>
      </c>
      <c r="I69" s="131">
        <v>1299.1840000000002</v>
      </c>
      <c r="J69" s="96"/>
      <c r="K69" s="36"/>
      <c r="L69" s="96"/>
      <c r="M69" s="97"/>
      <c r="N69" s="16"/>
      <c r="O69" s="96"/>
      <c r="P69" s="18"/>
    </row>
    <row r="70" spans="1:16" s="12" customFormat="1" ht="45">
      <c r="A70" s="107"/>
      <c r="B70" s="106" t="s">
        <v>232</v>
      </c>
      <c r="C70" s="109">
        <v>0.4</v>
      </c>
      <c r="D70" s="111" t="s">
        <v>153</v>
      </c>
      <c r="E70" s="112">
        <v>1</v>
      </c>
      <c r="F70" s="113" t="s">
        <v>154</v>
      </c>
      <c r="G70" s="101" t="s">
        <v>155</v>
      </c>
      <c r="H70" s="101">
        <f t="shared" si="2"/>
        <v>2100.8008210339499</v>
      </c>
      <c r="I70" s="131">
        <v>1623.98</v>
      </c>
      <c r="J70" s="96"/>
      <c r="K70" s="36"/>
      <c r="L70" s="96"/>
      <c r="M70" s="97"/>
      <c r="N70" s="16"/>
      <c r="O70" s="96"/>
      <c r="P70" s="18"/>
    </row>
    <row r="71" spans="1:16" s="12" customFormat="1" ht="45">
      <c r="A71" s="107"/>
      <c r="B71" s="106" t="s">
        <v>233</v>
      </c>
      <c r="C71" s="109">
        <v>0.4</v>
      </c>
      <c r="D71" s="111" t="s">
        <v>153</v>
      </c>
      <c r="E71" s="112">
        <v>0.7</v>
      </c>
      <c r="F71" s="113" t="s">
        <v>154</v>
      </c>
      <c r="G71" s="101" t="s">
        <v>155</v>
      </c>
      <c r="H71" s="101">
        <f t="shared" si="2"/>
        <v>1470.5605747237648</v>
      </c>
      <c r="I71" s="131">
        <v>1136.7859999999998</v>
      </c>
      <c r="J71" s="96"/>
      <c r="K71" s="36"/>
      <c r="L71" s="96"/>
      <c r="M71" s="97"/>
      <c r="N71" s="16"/>
      <c r="O71" s="96"/>
      <c r="P71" s="18"/>
    </row>
    <row r="72" spans="1:16" s="12" customFormat="1" ht="45">
      <c r="A72" s="107"/>
      <c r="B72" s="106" t="s">
        <v>234</v>
      </c>
      <c r="C72" s="109">
        <v>0.4</v>
      </c>
      <c r="D72" s="111" t="s">
        <v>153</v>
      </c>
      <c r="E72" s="112">
        <v>0.7</v>
      </c>
      <c r="F72" s="113" t="s">
        <v>154</v>
      </c>
      <c r="G72" s="101" t="s">
        <v>155</v>
      </c>
      <c r="H72" s="101">
        <f t="shared" si="2"/>
        <v>1470.5605747237648</v>
      </c>
      <c r="I72" s="131">
        <v>1136.7859999999998</v>
      </c>
      <c r="J72" s="96"/>
      <c r="K72" s="36"/>
      <c r="L72" s="96"/>
      <c r="M72" s="97"/>
      <c r="N72" s="16"/>
      <c r="O72" s="96"/>
      <c r="P72" s="18"/>
    </row>
    <row r="73" spans="1:16" s="12" customFormat="1" ht="45">
      <c r="A73" s="107"/>
      <c r="B73" s="106" t="s">
        <v>235</v>
      </c>
      <c r="C73" s="109">
        <v>0.4</v>
      </c>
      <c r="D73" s="111" t="s">
        <v>153</v>
      </c>
      <c r="E73" s="112">
        <v>1</v>
      </c>
      <c r="F73" s="113" t="s">
        <v>154</v>
      </c>
      <c r="G73" s="101" t="s">
        <v>155</v>
      </c>
      <c r="H73" s="101">
        <f t="shared" si="2"/>
        <v>2100.8008210339499</v>
      </c>
      <c r="I73" s="131">
        <v>1623.98</v>
      </c>
      <c r="J73" s="96"/>
      <c r="K73" s="36"/>
      <c r="L73" s="96"/>
      <c r="M73" s="97"/>
      <c r="N73" s="16"/>
      <c r="O73" s="96"/>
      <c r="P73" s="18"/>
    </row>
    <row r="74" spans="1:16" s="12" customFormat="1" ht="45">
      <c r="A74" s="107"/>
      <c r="B74" s="106" t="s">
        <v>236</v>
      </c>
      <c r="C74" s="109">
        <v>0.4</v>
      </c>
      <c r="D74" s="111" t="s">
        <v>153</v>
      </c>
      <c r="E74" s="132">
        <v>2</v>
      </c>
      <c r="F74" s="113" t="s">
        <v>154</v>
      </c>
      <c r="G74" s="101" t="s">
        <v>155</v>
      </c>
      <c r="H74" s="101">
        <f t="shared" si="2"/>
        <v>4201.6016420678998</v>
      </c>
      <c r="I74" s="131">
        <v>3247.96</v>
      </c>
      <c r="J74" s="96"/>
      <c r="K74" s="36"/>
      <c r="L74" s="96"/>
      <c r="M74" s="97"/>
      <c r="N74" s="16"/>
      <c r="O74" s="96"/>
      <c r="P74" s="18"/>
    </row>
    <row r="75" spans="1:16" s="12" customFormat="1" ht="45">
      <c r="A75" s="107"/>
      <c r="B75" s="106" t="s">
        <v>237</v>
      </c>
      <c r="C75" s="109">
        <v>0.4</v>
      </c>
      <c r="D75" s="111" t="s">
        <v>153</v>
      </c>
      <c r="E75" s="132">
        <v>1</v>
      </c>
      <c r="F75" s="113" t="s">
        <v>154</v>
      </c>
      <c r="G75" s="101" t="s">
        <v>155</v>
      </c>
      <c r="H75" s="101">
        <f t="shared" si="2"/>
        <v>2100.8008210339499</v>
      </c>
      <c r="I75" s="131">
        <v>1706.8</v>
      </c>
      <c r="J75" s="96"/>
      <c r="K75" s="36"/>
      <c r="L75" s="96"/>
      <c r="M75" s="97"/>
      <c r="N75" s="16"/>
      <c r="O75" s="96"/>
      <c r="P75" s="18"/>
    </row>
    <row r="76" spans="1:16" s="12" customFormat="1" ht="105">
      <c r="A76" s="107"/>
      <c r="B76" s="119" t="s">
        <v>172</v>
      </c>
      <c r="C76" s="109">
        <v>0.4</v>
      </c>
      <c r="D76" s="111" t="s">
        <v>153</v>
      </c>
      <c r="E76" s="132">
        <v>38.090000000000003</v>
      </c>
      <c r="F76" s="113" t="s">
        <v>154</v>
      </c>
      <c r="G76" s="101" t="s">
        <v>238</v>
      </c>
      <c r="H76" s="101">
        <f>(499*E76+517*E76+358*E76+6890*0.05)*1.05*1.051*1.051*1.054</f>
        <v>64399.489892464269</v>
      </c>
      <c r="I76" s="120">
        <v>50517.71</v>
      </c>
      <c r="J76" s="96"/>
      <c r="K76" s="36"/>
      <c r="L76" s="96"/>
      <c r="M76" s="97"/>
      <c r="N76" s="16"/>
      <c r="O76" s="96"/>
      <c r="P76" s="18"/>
    </row>
    <row r="77" spans="1:16" s="12" customFormat="1" ht="105">
      <c r="A77" s="107"/>
      <c r="B77" s="121" t="s">
        <v>182</v>
      </c>
      <c r="C77" s="109">
        <v>0.4</v>
      </c>
      <c r="D77" s="111" t="s">
        <v>153</v>
      </c>
      <c r="E77" s="132">
        <v>28.47</v>
      </c>
      <c r="F77" s="113" t="s">
        <v>154</v>
      </c>
      <c r="G77" s="101" t="s">
        <v>155</v>
      </c>
      <c r="H77" s="101">
        <f>(499*E77+517*E77+358*E77+6890*1)*1.05*1.051*1.051*1.054</f>
        <v>56242.759381989723</v>
      </c>
      <c r="I77" s="122">
        <v>48884.800000000003</v>
      </c>
      <c r="J77" s="96"/>
      <c r="K77" s="36"/>
      <c r="L77" s="96"/>
      <c r="M77" s="97"/>
      <c r="N77" s="16"/>
      <c r="O77" s="96"/>
      <c r="P77" s="18"/>
    </row>
    <row r="78" spans="1:16" s="12" customFormat="1" ht="60">
      <c r="A78" s="107"/>
      <c r="B78" s="121" t="s">
        <v>184</v>
      </c>
      <c r="C78" s="109">
        <v>0.4</v>
      </c>
      <c r="D78" s="111" t="s">
        <v>153</v>
      </c>
      <c r="E78" s="132">
        <v>8.08</v>
      </c>
      <c r="F78" s="113" t="s">
        <v>154</v>
      </c>
      <c r="G78" s="101" t="s">
        <v>155</v>
      </c>
      <c r="H78" s="101">
        <f>(499*E78+517*E78+358*E78+6890*0.05*E78)*1.05*1.051*1.051*1.054</f>
        <v>16974.470633954312</v>
      </c>
      <c r="I78" s="122">
        <v>13879.75</v>
      </c>
      <c r="J78" s="96"/>
      <c r="K78" s="36"/>
      <c r="L78" s="96"/>
      <c r="M78" s="97"/>
      <c r="N78" s="16"/>
      <c r="O78" s="96"/>
      <c r="P78" s="18"/>
    </row>
    <row r="79" spans="1:16" s="12" customFormat="1">
      <c r="A79" s="107"/>
      <c r="B79" s="108" t="s">
        <v>243</v>
      </c>
      <c r="C79" s="109"/>
      <c r="D79" s="111"/>
      <c r="E79" s="109"/>
      <c r="F79" s="113"/>
      <c r="G79" s="126"/>
      <c r="H79" s="101"/>
      <c r="I79" s="122"/>
      <c r="J79" s="96"/>
      <c r="K79" s="36"/>
      <c r="L79" s="96"/>
      <c r="M79" s="97"/>
      <c r="N79" s="16"/>
      <c r="O79" s="96"/>
      <c r="P79" s="18"/>
    </row>
    <row r="80" spans="1:16" s="12" customFormat="1" ht="45">
      <c r="A80" s="107"/>
      <c r="B80" s="114" t="s">
        <v>244</v>
      </c>
      <c r="C80" s="109">
        <v>0.4</v>
      </c>
      <c r="D80" s="111" t="s">
        <v>153</v>
      </c>
      <c r="E80" s="112">
        <v>1</v>
      </c>
      <c r="F80" s="113" t="s">
        <v>154</v>
      </c>
      <c r="G80" s="101" t="s">
        <v>155</v>
      </c>
      <c r="H80" s="101">
        <f>(499*E80+517*E80+358*E80+6890*0.05*E80)*1.05*1.051*1.051*1.054*1.049</f>
        <v>2203.7400612646134</v>
      </c>
      <c r="I80" s="112">
        <v>1887.12</v>
      </c>
      <c r="J80" s="96"/>
      <c r="K80" s="36"/>
      <c r="L80" s="96"/>
      <c r="M80" s="97"/>
      <c r="N80" s="16"/>
      <c r="O80" s="96"/>
      <c r="P80" s="18"/>
    </row>
    <row r="81" spans="1:16" s="12" customFormat="1" ht="45">
      <c r="A81" s="107"/>
      <c r="B81" s="114" t="s">
        <v>245</v>
      </c>
      <c r="C81" s="109">
        <v>0.4</v>
      </c>
      <c r="D81" s="111" t="s">
        <v>153</v>
      </c>
      <c r="E81" s="112">
        <v>0.5</v>
      </c>
      <c r="F81" s="113" t="s">
        <v>154</v>
      </c>
      <c r="G81" s="101" t="s">
        <v>155</v>
      </c>
      <c r="H81" s="101">
        <f t="shared" ref="H81:H106" si="3">(499*E81+517*E81+358*E81+6890*0.05*E81)*1.05*1.051*1.051*1.054*1.049</f>
        <v>1101.8700306323067</v>
      </c>
      <c r="I81" s="112">
        <v>943.56</v>
      </c>
      <c r="J81" s="96"/>
      <c r="K81" s="36"/>
      <c r="L81" s="96"/>
      <c r="M81" s="97"/>
      <c r="N81" s="16"/>
      <c r="O81" s="96"/>
      <c r="P81" s="18"/>
    </row>
    <row r="82" spans="1:16" s="12" customFormat="1" ht="45">
      <c r="A82" s="107"/>
      <c r="B82" s="114" t="s">
        <v>246</v>
      </c>
      <c r="C82" s="109">
        <v>0.4</v>
      </c>
      <c r="D82" s="111" t="s">
        <v>153</v>
      </c>
      <c r="E82" s="112">
        <v>0.5</v>
      </c>
      <c r="F82" s="113" t="s">
        <v>154</v>
      </c>
      <c r="G82" s="101" t="s">
        <v>155</v>
      </c>
      <c r="H82" s="101">
        <f t="shared" si="3"/>
        <v>1101.8700306323067</v>
      </c>
      <c r="I82" s="112">
        <v>943.56</v>
      </c>
      <c r="J82" s="96"/>
      <c r="K82" s="36"/>
      <c r="L82" s="96"/>
      <c r="M82" s="97"/>
      <c r="N82" s="16"/>
      <c r="O82" s="96"/>
      <c r="P82" s="18"/>
    </row>
    <row r="83" spans="1:16" s="12" customFormat="1" ht="45">
      <c r="A83" s="107"/>
      <c r="B83" s="114" t="s">
        <v>247</v>
      </c>
      <c r="C83" s="109">
        <v>0.4</v>
      </c>
      <c r="D83" s="111" t="s">
        <v>153</v>
      </c>
      <c r="E83" s="112">
        <v>0.5</v>
      </c>
      <c r="F83" s="113" t="s">
        <v>154</v>
      </c>
      <c r="G83" s="101" t="s">
        <v>155</v>
      </c>
      <c r="H83" s="101">
        <f t="shared" si="3"/>
        <v>1101.8700306323067</v>
      </c>
      <c r="I83" s="112">
        <v>943.56</v>
      </c>
      <c r="J83" s="96"/>
      <c r="K83" s="36"/>
      <c r="L83" s="96"/>
      <c r="M83" s="97"/>
      <c r="N83" s="16"/>
      <c r="O83" s="96"/>
      <c r="P83" s="18"/>
    </row>
    <row r="84" spans="1:16" s="12" customFormat="1" ht="45">
      <c r="A84" s="107"/>
      <c r="B84" s="114" t="s">
        <v>248</v>
      </c>
      <c r="C84" s="109">
        <v>0.4</v>
      </c>
      <c r="D84" s="111" t="s">
        <v>153</v>
      </c>
      <c r="E84" s="112">
        <v>0.66200000000000003</v>
      </c>
      <c r="F84" s="113" t="s">
        <v>154</v>
      </c>
      <c r="G84" s="101" t="s">
        <v>155</v>
      </c>
      <c r="H84" s="101">
        <f t="shared" si="3"/>
        <v>1458.8759205571744</v>
      </c>
      <c r="I84" s="112">
        <v>1249.27</v>
      </c>
      <c r="J84" s="96"/>
      <c r="K84" s="36"/>
      <c r="L84" s="96"/>
      <c r="M84" s="97"/>
      <c r="N84" s="16"/>
      <c r="O84" s="96"/>
      <c r="P84" s="18"/>
    </row>
    <row r="85" spans="1:16" s="12" customFormat="1" ht="45">
      <c r="A85" s="107"/>
      <c r="B85" s="114" t="s">
        <v>249</v>
      </c>
      <c r="C85" s="109">
        <v>0.4</v>
      </c>
      <c r="D85" s="111" t="s">
        <v>153</v>
      </c>
      <c r="E85" s="112">
        <v>1.1000000000000001</v>
      </c>
      <c r="F85" s="113" t="s">
        <v>154</v>
      </c>
      <c r="G85" s="101" t="s">
        <v>155</v>
      </c>
      <c r="H85" s="101">
        <f t="shared" si="3"/>
        <v>2424.114067391075</v>
      </c>
      <c r="I85" s="112">
        <v>2075.83</v>
      </c>
      <c r="J85" s="96"/>
      <c r="K85" s="36"/>
      <c r="L85" s="96"/>
      <c r="M85" s="97"/>
      <c r="N85" s="16"/>
      <c r="O85" s="96"/>
      <c r="P85" s="18"/>
    </row>
    <row r="86" spans="1:16" s="12" customFormat="1" ht="45">
      <c r="A86" s="107"/>
      <c r="B86" s="114" t="s">
        <v>250</v>
      </c>
      <c r="C86" s="109">
        <v>0.4</v>
      </c>
      <c r="D86" s="111" t="s">
        <v>153</v>
      </c>
      <c r="E86" s="112">
        <v>0.97499999999999998</v>
      </c>
      <c r="F86" s="113" t="s">
        <v>154</v>
      </c>
      <c r="G86" s="101" t="s">
        <v>155</v>
      </c>
      <c r="H86" s="101">
        <f t="shared" si="3"/>
        <v>2148.646559732998</v>
      </c>
      <c r="I86" s="112">
        <v>1839.94</v>
      </c>
      <c r="J86" s="96"/>
      <c r="K86" s="36"/>
      <c r="L86" s="96"/>
      <c r="M86" s="97"/>
      <c r="N86" s="16"/>
      <c r="O86" s="96"/>
      <c r="P86" s="18"/>
    </row>
    <row r="87" spans="1:16" s="12" customFormat="1" ht="60">
      <c r="A87" s="107"/>
      <c r="B87" s="115" t="s">
        <v>253</v>
      </c>
      <c r="C87" s="109">
        <v>0.4</v>
      </c>
      <c r="D87" s="111" t="s">
        <v>153</v>
      </c>
      <c r="E87" s="112">
        <v>0.20100000000000001</v>
      </c>
      <c r="F87" s="113" t="s">
        <v>154</v>
      </c>
      <c r="G87" s="101" t="s">
        <v>155</v>
      </c>
      <c r="H87" s="101">
        <f t="shared" si="3"/>
        <v>442.95175231418727</v>
      </c>
      <c r="I87" s="120">
        <v>379.31</v>
      </c>
      <c r="J87" s="96"/>
      <c r="K87" s="36"/>
      <c r="L87" s="96"/>
      <c r="M87" s="97"/>
      <c r="N87" s="16"/>
      <c r="O87" s="96"/>
      <c r="P87" s="18"/>
    </row>
    <row r="88" spans="1:16" s="12" customFormat="1" ht="60">
      <c r="A88" s="107"/>
      <c r="B88" s="129" t="s">
        <v>254</v>
      </c>
      <c r="C88" s="109">
        <v>0.4</v>
      </c>
      <c r="D88" s="111" t="s">
        <v>153</v>
      </c>
      <c r="E88" s="133">
        <v>0.37</v>
      </c>
      <c r="F88" s="113" t="s">
        <v>154</v>
      </c>
      <c r="G88" s="101" t="s">
        <v>155</v>
      </c>
      <c r="H88" s="101">
        <f t="shared" si="3"/>
        <v>815.38382266790711</v>
      </c>
      <c r="I88" s="130">
        <v>698.23440000000005</v>
      </c>
      <c r="J88" s="96"/>
      <c r="K88" s="36"/>
      <c r="L88" s="96"/>
      <c r="M88" s="97"/>
      <c r="N88" s="16"/>
      <c r="O88" s="96"/>
      <c r="P88" s="18"/>
    </row>
    <row r="89" spans="1:16" s="12" customFormat="1" ht="60">
      <c r="A89" s="107"/>
      <c r="B89" s="129" t="s">
        <v>255</v>
      </c>
      <c r="C89" s="109">
        <v>0.4</v>
      </c>
      <c r="D89" s="111" t="s">
        <v>153</v>
      </c>
      <c r="E89" s="133">
        <v>0.7</v>
      </c>
      <c r="F89" s="113" t="s">
        <v>154</v>
      </c>
      <c r="G89" s="101" t="s">
        <v>155</v>
      </c>
      <c r="H89" s="101">
        <f t="shared" si="3"/>
        <v>1542.6180428852292</v>
      </c>
      <c r="I89" s="130">
        <v>1320.9839999999999</v>
      </c>
      <c r="J89" s="96"/>
      <c r="K89" s="36"/>
      <c r="L89" s="96"/>
      <c r="M89" s="97"/>
      <c r="N89" s="16"/>
      <c r="O89" s="96"/>
      <c r="P89" s="18"/>
    </row>
    <row r="90" spans="1:16" s="12" customFormat="1" ht="60.75" thickBot="1">
      <c r="A90" s="107"/>
      <c r="B90" s="134" t="s">
        <v>256</v>
      </c>
      <c r="C90" s="109">
        <v>0.4</v>
      </c>
      <c r="D90" s="111" t="s">
        <v>153</v>
      </c>
      <c r="E90" s="135">
        <v>0.2</v>
      </c>
      <c r="F90" s="113" t="s">
        <v>154</v>
      </c>
      <c r="G90" s="101" t="s">
        <v>155</v>
      </c>
      <c r="H90" s="101">
        <f t="shared" si="3"/>
        <v>440.74801225292271</v>
      </c>
      <c r="I90" s="136">
        <v>377.42399999999998</v>
      </c>
      <c r="J90" s="96"/>
      <c r="K90" s="36"/>
      <c r="L90" s="96"/>
      <c r="M90" s="97"/>
      <c r="N90" s="16"/>
      <c r="O90" s="96"/>
      <c r="P90" s="18"/>
    </row>
    <row r="91" spans="1:16" s="12" customFormat="1" ht="45.75" thickTop="1">
      <c r="A91" s="107"/>
      <c r="B91" s="106" t="s">
        <v>257</v>
      </c>
      <c r="C91" s="109">
        <v>0.4</v>
      </c>
      <c r="D91" s="111" t="s">
        <v>153</v>
      </c>
      <c r="E91" s="112">
        <v>0.7</v>
      </c>
      <c r="F91" s="113" t="s">
        <v>154</v>
      </c>
      <c r="G91" s="101" t="s">
        <v>155</v>
      </c>
      <c r="H91" s="101">
        <f t="shared" si="3"/>
        <v>1542.6180428852292</v>
      </c>
      <c r="I91" s="120">
        <v>1194.76</v>
      </c>
      <c r="J91" s="96"/>
      <c r="K91" s="36"/>
      <c r="L91" s="96"/>
      <c r="M91" s="97"/>
      <c r="N91" s="16"/>
      <c r="O91" s="96"/>
      <c r="P91" s="18"/>
    </row>
    <row r="92" spans="1:16" s="12" customFormat="1" ht="45">
      <c r="A92" s="107"/>
      <c r="B92" s="106" t="s">
        <v>258</v>
      </c>
      <c r="C92" s="109">
        <v>0.4</v>
      </c>
      <c r="D92" s="111" t="s">
        <v>153</v>
      </c>
      <c r="E92" s="112">
        <v>1.2</v>
      </c>
      <c r="F92" s="113" t="s">
        <v>154</v>
      </c>
      <c r="G92" s="101" t="s">
        <v>155</v>
      </c>
      <c r="H92" s="101">
        <f t="shared" si="3"/>
        <v>2644.4880735175357</v>
      </c>
      <c r="I92" s="120">
        <v>2048.16</v>
      </c>
      <c r="J92" s="96"/>
      <c r="K92" s="36"/>
      <c r="L92" s="96"/>
      <c r="M92" s="97"/>
      <c r="N92" s="16"/>
      <c r="O92" s="96"/>
      <c r="P92" s="18"/>
    </row>
    <row r="93" spans="1:16" s="12" customFormat="1" ht="45">
      <c r="A93" s="107"/>
      <c r="B93" s="106" t="s">
        <v>259</v>
      </c>
      <c r="C93" s="109">
        <v>0.4</v>
      </c>
      <c r="D93" s="111" t="s">
        <v>153</v>
      </c>
      <c r="E93" s="112">
        <v>1.4</v>
      </c>
      <c r="F93" s="113" t="s">
        <v>154</v>
      </c>
      <c r="G93" s="101" t="s">
        <v>155</v>
      </c>
      <c r="H93" s="101">
        <f t="shared" si="3"/>
        <v>3085.2360857704584</v>
      </c>
      <c r="I93" s="120">
        <v>2389.52</v>
      </c>
      <c r="J93" s="96"/>
      <c r="K93" s="36"/>
      <c r="L93" s="96"/>
      <c r="M93" s="97"/>
      <c r="N93" s="16"/>
      <c r="O93" s="96"/>
      <c r="P93" s="18"/>
    </row>
    <row r="94" spans="1:16" s="12" customFormat="1" ht="45">
      <c r="A94" s="107"/>
      <c r="B94" s="106" t="s">
        <v>260</v>
      </c>
      <c r="C94" s="109">
        <v>0.4</v>
      </c>
      <c r="D94" s="111" t="s">
        <v>153</v>
      </c>
      <c r="E94" s="112">
        <v>1</v>
      </c>
      <c r="F94" s="113" t="s">
        <v>154</v>
      </c>
      <c r="G94" s="101" t="s">
        <v>155</v>
      </c>
      <c r="H94" s="101">
        <f t="shared" si="3"/>
        <v>2203.7400612646134</v>
      </c>
      <c r="I94" s="120">
        <v>1706.8</v>
      </c>
      <c r="J94" s="96"/>
      <c r="K94" s="36"/>
      <c r="L94" s="96"/>
      <c r="M94" s="97"/>
      <c r="N94" s="16"/>
      <c r="O94" s="96"/>
      <c r="P94" s="18"/>
    </row>
    <row r="95" spans="1:16" s="12" customFormat="1" ht="45">
      <c r="A95" s="107"/>
      <c r="B95" s="106" t="s">
        <v>261</v>
      </c>
      <c r="C95" s="109">
        <v>0.4</v>
      </c>
      <c r="D95" s="111" t="s">
        <v>153</v>
      </c>
      <c r="E95" s="112">
        <v>1.4</v>
      </c>
      <c r="F95" s="113" t="s">
        <v>154</v>
      </c>
      <c r="G95" s="101" t="s">
        <v>155</v>
      </c>
      <c r="H95" s="101">
        <f t="shared" si="3"/>
        <v>3085.2360857704584</v>
      </c>
      <c r="I95" s="120">
        <v>2389.52</v>
      </c>
      <c r="J95" s="96"/>
      <c r="K95" s="36"/>
      <c r="L95" s="96"/>
      <c r="M95" s="97"/>
      <c r="N95" s="16"/>
      <c r="O95" s="96"/>
      <c r="P95" s="18"/>
    </row>
    <row r="96" spans="1:16" s="12" customFormat="1" ht="45">
      <c r="A96" s="107"/>
      <c r="B96" s="106" t="s">
        <v>265</v>
      </c>
      <c r="C96" s="109">
        <v>0.4</v>
      </c>
      <c r="D96" s="111" t="s">
        <v>153</v>
      </c>
      <c r="E96" s="112">
        <v>0.4</v>
      </c>
      <c r="F96" s="113" t="s">
        <v>154</v>
      </c>
      <c r="G96" s="101" t="s">
        <v>155</v>
      </c>
      <c r="H96" s="101">
        <f t="shared" si="3"/>
        <v>881.49602450584541</v>
      </c>
      <c r="I96" s="120">
        <v>682.72</v>
      </c>
      <c r="J96" s="96"/>
      <c r="K96" s="36"/>
      <c r="L96" s="96"/>
      <c r="M96" s="97"/>
      <c r="N96" s="16"/>
      <c r="O96" s="96"/>
      <c r="P96" s="18"/>
    </row>
    <row r="97" spans="1:16" s="12" customFormat="1" ht="45">
      <c r="A97" s="107"/>
      <c r="B97" s="106" t="s">
        <v>266</v>
      </c>
      <c r="C97" s="109">
        <v>0.4</v>
      </c>
      <c r="D97" s="111" t="s">
        <v>153</v>
      </c>
      <c r="E97" s="112">
        <v>1.3</v>
      </c>
      <c r="F97" s="113" t="s">
        <v>154</v>
      </c>
      <c r="G97" s="101" t="s">
        <v>155</v>
      </c>
      <c r="H97" s="101">
        <f t="shared" si="3"/>
        <v>2864.8620796439977</v>
      </c>
      <c r="I97" s="120">
        <v>2218.84</v>
      </c>
      <c r="J97" s="96"/>
      <c r="K97" s="36"/>
      <c r="L97" s="96"/>
      <c r="M97" s="97"/>
      <c r="N97" s="16"/>
      <c r="O97" s="96"/>
      <c r="P97" s="18"/>
    </row>
    <row r="98" spans="1:16" s="12" customFormat="1" ht="45">
      <c r="A98" s="107"/>
      <c r="B98" s="106" t="s">
        <v>267</v>
      </c>
      <c r="C98" s="109">
        <v>0.4</v>
      </c>
      <c r="D98" s="111" t="s">
        <v>153</v>
      </c>
      <c r="E98" s="112">
        <v>1</v>
      </c>
      <c r="F98" s="113" t="s">
        <v>154</v>
      </c>
      <c r="G98" s="101" t="s">
        <v>155</v>
      </c>
      <c r="H98" s="101">
        <f t="shared" si="3"/>
        <v>2203.7400612646134</v>
      </c>
      <c r="I98" s="120">
        <v>1706.8</v>
      </c>
      <c r="J98" s="96"/>
      <c r="K98" s="36"/>
      <c r="L98" s="96"/>
      <c r="M98" s="97"/>
      <c r="N98" s="16"/>
      <c r="O98" s="96"/>
      <c r="P98" s="18"/>
    </row>
    <row r="99" spans="1:16" s="12" customFormat="1" ht="45">
      <c r="A99" s="107"/>
      <c r="B99" s="106" t="s">
        <v>268</v>
      </c>
      <c r="C99" s="109">
        <v>0.4</v>
      </c>
      <c r="D99" s="111" t="s">
        <v>153</v>
      </c>
      <c r="E99" s="112">
        <v>1.3</v>
      </c>
      <c r="F99" s="113" t="s">
        <v>154</v>
      </c>
      <c r="G99" s="101" t="s">
        <v>155</v>
      </c>
      <c r="H99" s="101">
        <f t="shared" si="3"/>
        <v>2864.8620796439977</v>
      </c>
      <c r="I99" s="120">
        <v>2218.84</v>
      </c>
      <c r="J99" s="96"/>
      <c r="K99" s="36"/>
      <c r="L99" s="96"/>
      <c r="M99" s="97"/>
      <c r="N99" s="16"/>
      <c r="O99" s="96"/>
      <c r="P99" s="18"/>
    </row>
    <row r="100" spans="1:16" s="12" customFormat="1" ht="45">
      <c r="A100" s="107"/>
      <c r="B100" s="106" t="s">
        <v>269</v>
      </c>
      <c r="C100" s="109">
        <v>0.4</v>
      </c>
      <c r="D100" s="111" t="s">
        <v>153</v>
      </c>
      <c r="E100" s="112">
        <v>1.1000000000000001</v>
      </c>
      <c r="F100" s="113" t="s">
        <v>154</v>
      </c>
      <c r="G100" s="101" t="s">
        <v>155</v>
      </c>
      <c r="H100" s="101">
        <f t="shared" si="3"/>
        <v>2424.114067391075</v>
      </c>
      <c r="I100" s="120">
        <v>1877.48</v>
      </c>
      <c r="J100" s="96"/>
      <c r="K100" s="36"/>
      <c r="L100" s="96"/>
      <c r="M100" s="97"/>
      <c r="N100" s="16"/>
      <c r="O100" s="96"/>
      <c r="P100" s="18"/>
    </row>
    <row r="101" spans="1:16" s="12" customFormat="1" ht="45">
      <c r="A101" s="107"/>
      <c r="B101" s="106" t="s">
        <v>270</v>
      </c>
      <c r="C101" s="109">
        <v>0.4</v>
      </c>
      <c r="D101" s="111" t="s">
        <v>153</v>
      </c>
      <c r="E101" s="112">
        <v>1.8</v>
      </c>
      <c r="F101" s="113" t="s">
        <v>154</v>
      </c>
      <c r="G101" s="101" t="s">
        <v>155</v>
      </c>
      <c r="H101" s="101">
        <f t="shared" si="3"/>
        <v>3966.732110276304</v>
      </c>
      <c r="I101" s="120">
        <v>3072.24</v>
      </c>
      <c r="J101" s="96"/>
      <c r="K101" s="36"/>
      <c r="L101" s="96"/>
      <c r="M101" s="97"/>
      <c r="N101" s="16"/>
      <c r="O101" s="96"/>
      <c r="P101" s="18"/>
    </row>
    <row r="102" spans="1:16" s="12" customFormat="1" ht="45">
      <c r="A102" s="107"/>
      <c r="B102" s="106" t="s">
        <v>271</v>
      </c>
      <c r="C102" s="109">
        <v>0.4</v>
      </c>
      <c r="D102" s="111" t="s">
        <v>153</v>
      </c>
      <c r="E102" s="112">
        <v>0.3</v>
      </c>
      <c r="F102" s="113" t="s">
        <v>154</v>
      </c>
      <c r="G102" s="101" t="s">
        <v>155</v>
      </c>
      <c r="H102" s="101">
        <f t="shared" si="3"/>
        <v>661.12201837938392</v>
      </c>
      <c r="I102" s="120">
        <v>512.04</v>
      </c>
      <c r="J102" s="96"/>
      <c r="K102" s="36"/>
      <c r="L102" s="96"/>
      <c r="M102" s="97"/>
      <c r="N102" s="16"/>
      <c r="O102" s="96"/>
      <c r="P102" s="18"/>
    </row>
    <row r="103" spans="1:16" s="12" customFormat="1" ht="105">
      <c r="A103" s="107"/>
      <c r="B103" s="119" t="s">
        <v>172</v>
      </c>
      <c r="C103" s="109">
        <v>0.4</v>
      </c>
      <c r="D103" s="111" t="s">
        <v>153</v>
      </c>
      <c r="E103" s="112">
        <v>38.826000000000001</v>
      </c>
      <c r="F103" s="113" t="s">
        <v>154</v>
      </c>
      <c r="G103" s="101" t="s">
        <v>238</v>
      </c>
      <c r="H103" s="101">
        <f>(499*E103+517*E103+358*E103)*1.05*1.051*1.051*1.054*1.049</f>
        <v>68410.098087889826</v>
      </c>
      <c r="I103" s="120">
        <v>52727.51</v>
      </c>
      <c r="J103" s="96"/>
      <c r="K103" s="36"/>
      <c r="L103" s="96"/>
      <c r="M103" s="97"/>
      <c r="N103" s="16"/>
      <c r="O103" s="96"/>
      <c r="P103" s="18"/>
    </row>
    <row r="104" spans="1:16" s="12" customFormat="1" ht="105">
      <c r="A104" s="107"/>
      <c r="B104" s="121" t="s">
        <v>182</v>
      </c>
      <c r="C104" s="109">
        <v>0.4</v>
      </c>
      <c r="D104" s="111" t="s">
        <v>153</v>
      </c>
      <c r="E104" s="112">
        <v>28.47</v>
      </c>
      <c r="F104" s="113" t="s">
        <v>154</v>
      </c>
      <c r="G104" s="101" t="s">
        <v>155</v>
      </c>
      <c r="H104" s="101">
        <f t="shared" si="3"/>
        <v>62740.479544203532</v>
      </c>
      <c r="I104" s="120">
        <v>51280</v>
      </c>
      <c r="J104" s="96"/>
      <c r="K104" s="36"/>
      <c r="L104" s="96"/>
      <c r="M104" s="97"/>
      <c r="N104" s="16"/>
      <c r="O104" s="96"/>
      <c r="P104" s="18"/>
    </row>
    <row r="105" spans="1:16" s="12" customFormat="1" ht="60">
      <c r="A105" s="107"/>
      <c r="B105" s="121" t="s">
        <v>184</v>
      </c>
      <c r="C105" s="109">
        <v>0.4</v>
      </c>
      <c r="D105" s="111" t="s">
        <v>153</v>
      </c>
      <c r="E105" s="112">
        <v>8.08</v>
      </c>
      <c r="F105" s="113" t="s">
        <v>154</v>
      </c>
      <c r="G105" s="101" t="s">
        <v>155</v>
      </c>
      <c r="H105" s="101">
        <f t="shared" si="3"/>
        <v>17806.219695018073</v>
      </c>
      <c r="I105" s="120">
        <v>14560</v>
      </c>
      <c r="J105" s="96"/>
      <c r="K105" s="36"/>
      <c r="L105" s="96"/>
      <c r="M105" s="97"/>
      <c r="N105" s="16"/>
      <c r="O105" s="96"/>
      <c r="P105" s="18"/>
    </row>
    <row r="106" spans="1:16" s="12" customFormat="1">
      <c r="A106" s="107"/>
      <c r="B106" s="137" t="s">
        <v>273</v>
      </c>
      <c r="C106" s="109"/>
      <c r="D106" s="111"/>
      <c r="E106" s="112"/>
      <c r="F106" s="113"/>
      <c r="G106" s="101"/>
      <c r="H106" s="101">
        <f t="shared" si="3"/>
        <v>0</v>
      </c>
      <c r="I106" s="120"/>
      <c r="J106" s="96"/>
      <c r="K106" s="36"/>
      <c r="L106" s="96"/>
      <c r="M106" s="97"/>
      <c r="N106" s="16"/>
      <c r="O106" s="96"/>
      <c r="P106" s="18"/>
    </row>
    <row r="107" spans="1:16" s="12" customFormat="1" ht="45">
      <c r="A107" s="107"/>
      <c r="B107" s="110" t="s">
        <v>274</v>
      </c>
      <c r="C107" s="109">
        <v>0.4</v>
      </c>
      <c r="D107" s="111" t="s">
        <v>153</v>
      </c>
      <c r="E107" s="138">
        <v>0.6</v>
      </c>
      <c r="F107" s="113" t="s">
        <v>154</v>
      </c>
      <c r="G107" s="101" t="s">
        <v>155</v>
      </c>
      <c r="H107" s="101">
        <f>(499*E107+517*E107+358*E107+6890*0.05*E107)*1.05*1.051*1.051*1.054*1.049*1.047</f>
        <v>1384.3895064864298</v>
      </c>
      <c r="I107" s="138">
        <v>1185.48</v>
      </c>
      <c r="J107" s="96"/>
      <c r="K107" s="36"/>
      <c r="L107" s="96"/>
      <c r="M107" s="97"/>
      <c r="N107" s="16"/>
      <c r="O107" s="96"/>
      <c r="P107" s="18"/>
    </row>
    <row r="108" spans="1:16" s="12" customFormat="1" ht="45">
      <c r="A108" s="107"/>
      <c r="B108" s="110" t="s">
        <v>275</v>
      </c>
      <c r="C108" s="109">
        <v>0.4</v>
      </c>
      <c r="D108" s="111" t="s">
        <v>153</v>
      </c>
      <c r="E108" s="112">
        <v>1.1000000000000001</v>
      </c>
      <c r="F108" s="113" t="s">
        <v>154</v>
      </c>
      <c r="G108" s="101" t="s">
        <v>155</v>
      </c>
      <c r="H108" s="101">
        <f t="shared" ref="H108:H136" si="4">(499*E108+517*E108+358*E108+6890*0.05*E108)*1.05*1.051*1.051*1.054*1.049*1.047</f>
        <v>2538.0474285584555</v>
      </c>
      <c r="I108" s="112">
        <v>2173.39</v>
      </c>
      <c r="J108" s="96"/>
      <c r="K108" s="36"/>
      <c r="L108" s="96"/>
      <c r="M108" s="97"/>
      <c r="N108" s="16"/>
      <c r="O108" s="96"/>
      <c r="P108" s="18"/>
    </row>
    <row r="109" spans="1:16" s="12" customFormat="1" ht="45">
      <c r="A109" s="107"/>
      <c r="B109" s="110" t="s">
        <v>276</v>
      </c>
      <c r="C109" s="109">
        <v>0.4</v>
      </c>
      <c r="D109" s="111" t="s">
        <v>153</v>
      </c>
      <c r="E109" s="112">
        <v>0.9</v>
      </c>
      <c r="F109" s="113" t="s">
        <v>154</v>
      </c>
      <c r="G109" s="101" t="s">
        <v>155</v>
      </c>
      <c r="H109" s="101">
        <f t="shared" si="4"/>
        <v>2076.5842597296451</v>
      </c>
      <c r="I109" s="112">
        <v>1778.22</v>
      </c>
      <c r="J109" s="96"/>
      <c r="K109" s="36"/>
      <c r="L109" s="96"/>
      <c r="M109" s="97"/>
      <c r="N109" s="16"/>
      <c r="O109" s="96"/>
      <c r="P109" s="18"/>
    </row>
    <row r="110" spans="1:16" s="12" customFormat="1" ht="45">
      <c r="A110" s="107"/>
      <c r="B110" s="114" t="s">
        <v>277</v>
      </c>
      <c r="C110" s="109">
        <v>0.4</v>
      </c>
      <c r="D110" s="111" t="s">
        <v>153</v>
      </c>
      <c r="E110" s="112">
        <v>0.55000000000000004</v>
      </c>
      <c r="F110" s="113" t="s">
        <v>154</v>
      </c>
      <c r="G110" s="101" t="s">
        <v>155</v>
      </c>
      <c r="H110" s="101">
        <f t="shared" si="4"/>
        <v>1269.0237142792278</v>
      </c>
      <c r="I110" s="112">
        <v>1086.69</v>
      </c>
      <c r="J110" s="96"/>
      <c r="K110" s="36"/>
      <c r="L110" s="96"/>
      <c r="M110" s="97"/>
      <c r="N110" s="16"/>
      <c r="O110" s="96"/>
      <c r="P110" s="18"/>
    </row>
    <row r="111" spans="1:16" s="12" customFormat="1" ht="45">
      <c r="A111" s="107"/>
      <c r="B111" s="114" t="s">
        <v>278</v>
      </c>
      <c r="C111" s="109">
        <v>0.4</v>
      </c>
      <c r="D111" s="111" t="s">
        <v>153</v>
      </c>
      <c r="E111" s="112">
        <v>0.3</v>
      </c>
      <c r="F111" s="113" t="s">
        <v>154</v>
      </c>
      <c r="G111" s="101" t="s">
        <v>155</v>
      </c>
      <c r="H111" s="101">
        <f t="shared" si="4"/>
        <v>692.1947532432149</v>
      </c>
      <c r="I111" s="112">
        <v>592.74</v>
      </c>
      <c r="J111" s="96"/>
      <c r="K111" s="36"/>
      <c r="L111" s="96"/>
      <c r="M111" s="97"/>
      <c r="N111" s="16"/>
      <c r="O111" s="96"/>
      <c r="P111" s="18"/>
    </row>
    <row r="112" spans="1:16" s="12" customFormat="1" ht="45">
      <c r="A112" s="107"/>
      <c r="B112" s="114" t="s">
        <v>279</v>
      </c>
      <c r="C112" s="109">
        <v>0.4</v>
      </c>
      <c r="D112" s="111" t="s">
        <v>153</v>
      </c>
      <c r="E112" s="112">
        <v>0.3</v>
      </c>
      <c r="F112" s="113" t="s">
        <v>154</v>
      </c>
      <c r="G112" s="101" t="s">
        <v>155</v>
      </c>
      <c r="H112" s="101">
        <f t="shared" si="4"/>
        <v>692.1947532432149</v>
      </c>
      <c r="I112" s="112">
        <v>592.74</v>
      </c>
      <c r="J112" s="96"/>
      <c r="K112" s="36"/>
      <c r="L112" s="96"/>
      <c r="M112" s="97"/>
      <c r="N112" s="16"/>
      <c r="O112" s="96"/>
      <c r="P112" s="18"/>
    </row>
    <row r="113" spans="1:16" s="12" customFormat="1" ht="45">
      <c r="A113" s="107"/>
      <c r="B113" s="114" t="s">
        <v>280</v>
      </c>
      <c r="C113" s="109">
        <v>0.4</v>
      </c>
      <c r="D113" s="111" t="s">
        <v>153</v>
      </c>
      <c r="E113" s="128">
        <v>0.4</v>
      </c>
      <c r="F113" s="113" t="s">
        <v>154</v>
      </c>
      <c r="G113" s="101" t="s">
        <v>155</v>
      </c>
      <c r="H113" s="101">
        <f t="shared" si="4"/>
        <v>922.92633765762014</v>
      </c>
      <c r="I113" s="112">
        <v>790.32</v>
      </c>
      <c r="J113" s="96"/>
      <c r="K113" s="36"/>
      <c r="L113" s="96"/>
      <c r="M113" s="97"/>
      <c r="N113" s="16"/>
      <c r="O113" s="96"/>
      <c r="P113" s="18"/>
    </row>
    <row r="114" spans="1:16" s="12" customFormat="1" ht="45">
      <c r="A114" s="107"/>
      <c r="B114" s="114" t="s">
        <v>281</v>
      </c>
      <c r="C114" s="109">
        <v>0.4</v>
      </c>
      <c r="D114" s="111" t="s">
        <v>153</v>
      </c>
      <c r="E114" s="128">
        <v>1</v>
      </c>
      <c r="F114" s="113" t="s">
        <v>154</v>
      </c>
      <c r="G114" s="101" t="s">
        <v>155</v>
      </c>
      <c r="H114" s="101">
        <f t="shared" si="4"/>
        <v>2307.3158441440501</v>
      </c>
      <c r="I114" s="112">
        <v>1975.81</v>
      </c>
      <c r="J114" s="96"/>
      <c r="K114" s="36"/>
      <c r="L114" s="96"/>
      <c r="M114" s="97"/>
      <c r="N114" s="16"/>
      <c r="O114" s="96"/>
      <c r="P114" s="18"/>
    </row>
    <row r="115" spans="1:16" s="12" customFormat="1" ht="150">
      <c r="A115" s="107"/>
      <c r="B115" s="106" t="s">
        <v>283</v>
      </c>
      <c r="C115" s="109">
        <v>0.4</v>
      </c>
      <c r="D115" s="111" t="s">
        <v>153</v>
      </c>
      <c r="E115" s="128">
        <v>2</v>
      </c>
      <c r="F115" s="113" t="s">
        <v>154</v>
      </c>
      <c r="G115" s="101" t="s">
        <v>155</v>
      </c>
      <c r="H115" s="101">
        <f t="shared" si="4"/>
        <v>4614.6316882881001</v>
      </c>
      <c r="I115" s="112">
        <v>3951.62</v>
      </c>
      <c r="J115" s="96"/>
      <c r="K115" s="36"/>
      <c r="L115" s="96"/>
      <c r="M115" s="97"/>
      <c r="N115" s="16"/>
      <c r="O115" s="96"/>
      <c r="P115" s="18"/>
    </row>
    <row r="116" spans="1:16" s="12" customFormat="1" ht="45">
      <c r="A116" s="107"/>
      <c r="B116" s="106" t="s">
        <v>286</v>
      </c>
      <c r="C116" s="109">
        <v>0.4</v>
      </c>
      <c r="D116" s="111" t="s">
        <v>153</v>
      </c>
      <c r="E116" s="112">
        <v>0.9</v>
      </c>
      <c r="F116" s="113" t="s">
        <v>154</v>
      </c>
      <c r="G116" s="101" t="s">
        <v>155</v>
      </c>
      <c r="H116" s="101">
        <f t="shared" si="4"/>
        <v>2076.5842597296451</v>
      </c>
      <c r="I116" s="139">
        <v>1536.12</v>
      </c>
      <c r="J116" s="96"/>
      <c r="K116" s="36"/>
      <c r="L116" s="96"/>
      <c r="M116" s="97"/>
      <c r="N116" s="16"/>
      <c r="O116" s="96"/>
      <c r="P116" s="18"/>
    </row>
    <row r="117" spans="1:16" s="12" customFormat="1" ht="45">
      <c r="A117" s="107"/>
      <c r="B117" s="106" t="s">
        <v>287</v>
      </c>
      <c r="C117" s="109">
        <v>0.4</v>
      </c>
      <c r="D117" s="111" t="s">
        <v>153</v>
      </c>
      <c r="E117" s="112">
        <v>1.3</v>
      </c>
      <c r="F117" s="113" t="s">
        <v>154</v>
      </c>
      <c r="G117" s="101" t="s">
        <v>155</v>
      </c>
      <c r="H117" s="101">
        <f t="shared" si="4"/>
        <v>2999.5105973872655</v>
      </c>
      <c r="I117" s="139">
        <v>2218.84</v>
      </c>
      <c r="J117" s="96"/>
      <c r="K117" s="36"/>
      <c r="L117" s="96"/>
      <c r="M117" s="97"/>
      <c r="N117" s="16"/>
      <c r="O117" s="96"/>
      <c r="P117" s="18"/>
    </row>
    <row r="118" spans="1:16" s="12" customFormat="1" ht="45">
      <c r="A118" s="107"/>
      <c r="B118" s="106" t="s">
        <v>288</v>
      </c>
      <c r="C118" s="109">
        <v>0.4</v>
      </c>
      <c r="D118" s="111" t="s">
        <v>153</v>
      </c>
      <c r="E118" s="112">
        <v>0.5</v>
      </c>
      <c r="F118" s="113" t="s">
        <v>154</v>
      </c>
      <c r="G118" s="101" t="s">
        <v>155</v>
      </c>
      <c r="H118" s="101">
        <f t="shared" si="4"/>
        <v>1153.657922072025</v>
      </c>
      <c r="I118" s="139">
        <v>853.4</v>
      </c>
      <c r="J118" s="96"/>
      <c r="K118" s="36"/>
      <c r="L118" s="96"/>
      <c r="M118" s="97"/>
      <c r="N118" s="16"/>
      <c r="O118" s="96"/>
      <c r="P118" s="18"/>
    </row>
    <row r="119" spans="1:16" s="12" customFormat="1" ht="45">
      <c r="A119" s="107"/>
      <c r="B119" s="106" t="s">
        <v>289</v>
      </c>
      <c r="C119" s="109">
        <v>0.4</v>
      </c>
      <c r="D119" s="111" t="s">
        <v>153</v>
      </c>
      <c r="E119" s="112">
        <v>2</v>
      </c>
      <c r="F119" s="113" t="s">
        <v>154</v>
      </c>
      <c r="G119" s="101" t="s">
        <v>155</v>
      </c>
      <c r="H119" s="101">
        <f t="shared" si="4"/>
        <v>4614.6316882881001</v>
      </c>
      <c r="I119" s="139">
        <v>3413.6</v>
      </c>
      <c r="J119" s="96"/>
      <c r="K119" s="36"/>
      <c r="L119" s="96"/>
      <c r="M119" s="97"/>
      <c r="N119" s="16"/>
      <c r="O119" s="96"/>
      <c r="P119" s="18"/>
    </row>
    <row r="120" spans="1:16" s="12" customFormat="1" ht="57.75" customHeight="1">
      <c r="A120" s="107"/>
      <c r="B120" s="106" t="s">
        <v>290</v>
      </c>
      <c r="C120" s="109">
        <v>0.4</v>
      </c>
      <c r="D120" s="111" t="s">
        <v>153</v>
      </c>
      <c r="E120" s="140">
        <v>0.5</v>
      </c>
      <c r="F120" s="113" t="s">
        <v>154</v>
      </c>
      <c r="G120" s="101" t="s">
        <v>155</v>
      </c>
      <c r="H120" s="101">
        <f t="shared" si="4"/>
        <v>1153.657922072025</v>
      </c>
      <c r="I120" s="139">
        <v>853.4</v>
      </c>
      <c r="J120" s="96"/>
      <c r="K120" s="36"/>
      <c r="L120" s="96"/>
      <c r="M120" s="97"/>
      <c r="N120" s="16"/>
      <c r="O120" s="96"/>
      <c r="P120" s="18"/>
    </row>
    <row r="121" spans="1:16" s="12" customFormat="1" ht="45">
      <c r="A121" s="107"/>
      <c r="B121" s="106" t="s">
        <v>291</v>
      </c>
      <c r="C121" s="109">
        <v>0.4</v>
      </c>
      <c r="D121" s="111" t="s">
        <v>153</v>
      </c>
      <c r="E121" s="112">
        <v>0.4</v>
      </c>
      <c r="F121" s="113" t="s">
        <v>154</v>
      </c>
      <c r="G121" s="101" t="s">
        <v>155</v>
      </c>
      <c r="H121" s="101">
        <f t="shared" si="4"/>
        <v>922.92633765762014</v>
      </c>
      <c r="I121" s="139">
        <v>719.58800000000008</v>
      </c>
      <c r="J121" s="96"/>
      <c r="K121" s="36"/>
      <c r="L121" s="96"/>
      <c r="M121" s="97"/>
      <c r="N121" s="16"/>
      <c r="O121" s="96"/>
      <c r="P121" s="18"/>
    </row>
    <row r="122" spans="1:16" s="12" customFormat="1" ht="45">
      <c r="A122" s="107"/>
      <c r="B122" s="106" t="s">
        <v>292</v>
      </c>
      <c r="C122" s="109">
        <v>0.4</v>
      </c>
      <c r="D122" s="111" t="s">
        <v>153</v>
      </c>
      <c r="E122" s="112">
        <v>0.6</v>
      </c>
      <c r="F122" s="113" t="s">
        <v>154</v>
      </c>
      <c r="G122" s="101" t="s">
        <v>155</v>
      </c>
      <c r="H122" s="101">
        <f t="shared" si="4"/>
        <v>1384.3895064864298</v>
      </c>
      <c r="I122" s="139">
        <v>1079.3820000000001</v>
      </c>
      <c r="J122" s="96"/>
      <c r="K122" s="36"/>
      <c r="L122" s="96"/>
      <c r="M122" s="97"/>
      <c r="N122" s="16"/>
      <c r="O122" s="96"/>
      <c r="P122" s="18"/>
    </row>
    <row r="123" spans="1:16" s="12" customFormat="1" ht="45">
      <c r="A123" s="107"/>
      <c r="B123" s="106" t="s">
        <v>293</v>
      </c>
      <c r="C123" s="109">
        <v>0.4</v>
      </c>
      <c r="D123" s="111" t="s">
        <v>153</v>
      </c>
      <c r="E123" s="112">
        <v>1.1000000000000001</v>
      </c>
      <c r="F123" s="113" t="s">
        <v>154</v>
      </c>
      <c r="G123" s="101" t="s">
        <v>155</v>
      </c>
      <c r="H123" s="101">
        <f t="shared" si="4"/>
        <v>2538.0474285584555</v>
      </c>
      <c r="I123" s="139">
        <v>1978.8670000000002</v>
      </c>
      <c r="J123" s="96"/>
      <c r="K123" s="36"/>
      <c r="L123" s="96"/>
      <c r="M123" s="97"/>
      <c r="N123" s="16"/>
      <c r="O123" s="96"/>
      <c r="P123" s="18"/>
    </row>
    <row r="124" spans="1:16" s="12" customFormat="1" ht="45">
      <c r="A124" s="107"/>
      <c r="B124" s="106" t="s">
        <v>294</v>
      </c>
      <c r="C124" s="109">
        <v>0.4</v>
      </c>
      <c r="D124" s="111" t="s">
        <v>153</v>
      </c>
      <c r="E124" s="112">
        <v>1.3</v>
      </c>
      <c r="F124" s="113" t="s">
        <v>154</v>
      </c>
      <c r="G124" s="101" t="s">
        <v>155</v>
      </c>
      <c r="H124" s="101">
        <f t="shared" si="4"/>
        <v>2999.5105973872655</v>
      </c>
      <c r="I124" s="139">
        <v>2338.6610000000001</v>
      </c>
      <c r="J124" s="96"/>
      <c r="K124" s="36"/>
      <c r="L124" s="96"/>
      <c r="M124" s="97"/>
      <c r="N124" s="16"/>
      <c r="O124" s="96"/>
      <c r="P124" s="18"/>
    </row>
    <row r="125" spans="1:16" s="12" customFormat="1" ht="45">
      <c r="A125" s="107"/>
      <c r="B125" s="106" t="s">
        <v>295</v>
      </c>
      <c r="C125" s="109">
        <v>0.4</v>
      </c>
      <c r="D125" s="111" t="s">
        <v>153</v>
      </c>
      <c r="E125" s="112">
        <v>1</v>
      </c>
      <c r="F125" s="113" t="s">
        <v>154</v>
      </c>
      <c r="G125" s="101" t="s">
        <v>155</v>
      </c>
      <c r="H125" s="101">
        <f t="shared" si="4"/>
        <v>2307.3158441440501</v>
      </c>
      <c r="I125" s="139">
        <v>1798.97</v>
      </c>
      <c r="J125" s="96"/>
      <c r="K125" s="36"/>
      <c r="L125" s="96"/>
      <c r="M125" s="97"/>
      <c r="N125" s="16"/>
      <c r="O125" s="96"/>
      <c r="P125" s="18"/>
    </row>
    <row r="126" spans="1:16" s="12" customFormat="1" ht="45">
      <c r="A126" s="107"/>
      <c r="B126" s="106" t="s">
        <v>296</v>
      </c>
      <c r="C126" s="109">
        <v>0.4</v>
      </c>
      <c r="D126" s="111" t="s">
        <v>153</v>
      </c>
      <c r="E126" s="112">
        <v>1.4</v>
      </c>
      <c r="F126" s="113" t="s">
        <v>154</v>
      </c>
      <c r="G126" s="101" t="s">
        <v>155</v>
      </c>
      <c r="H126" s="101">
        <f t="shared" si="4"/>
        <v>3230.2421818016696</v>
      </c>
      <c r="I126" s="139">
        <v>2518.558</v>
      </c>
      <c r="J126" s="96"/>
      <c r="K126" s="36"/>
      <c r="L126" s="96"/>
      <c r="M126" s="97"/>
      <c r="N126" s="16"/>
      <c r="O126" s="96"/>
      <c r="P126" s="18"/>
    </row>
    <row r="127" spans="1:16" s="12" customFormat="1" ht="45">
      <c r="A127" s="107"/>
      <c r="B127" s="106" t="s">
        <v>297</v>
      </c>
      <c r="C127" s="109">
        <v>0.4</v>
      </c>
      <c r="D127" s="111" t="s">
        <v>153</v>
      </c>
      <c r="E127" s="112">
        <v>1</v>
      </c>
      <c r="F127" s="113" t="s">
        <v>154</v>
      </c>
      <c r="G127" s="101" t="s">
        <v>155</v>
      </c>
      <c r="H127" s="101">
        <f t="shared" si="4"/>
        <v>2307.3158441440501</v>
      </c>
      <c r="I127" s="139">
        <v>1798.97</v>
      </c>
      <c r="J127" s="96"/>
      <c r="K127" s="36"/>
      <c r="L127" s="96"/>
      <c r="M127" s="97"/>
      <c r="N127" s="16"/>
      <c r="O127" s="96"/>
      <c r="P127" s="18"/>
    </row>
    <row r="128" spans="1:16" s="12" customFormat="1" ht="45">
      <c r="A128" s="107"/>
      <c r="B128" s="106" t="s">
        <v>298</v>
      </c>
      <c r="C128" s="109">
        <v>0.4</v>
      </c>
      <c r="D128" s="111" t="s">
        <v>153</v>
      </c>
      <c r="E128" s="112">
        <v>0.9</v>
      </c>
      <c r="F128" s="113" t="s">
        <v>154</v>
      </c>
      <c r="G128" s="101" t="s">
        <v>155</v>
      </c>
      <c r="H128" s="101">
        <f t="shared" si="4"/>
        <v>2076.5842597296451</v>
      </c>
      <c r="I128" s="139">
        <v>1619.0730000000001</v>
      </c>
      <c r="J128" s="96"/>
      <c r="K128" s="36"/>
      <c r="L128" s="96"/>
      <c r="M128" s="97"/>
      <c r="N128" s="16"/>
      <c r="O128" s="96"/>
      <c r="P128" s="18"/>
    </row>
    <row r="129" spans="1:16" s="12" customFormat="1" ht="45">
      <c r="A129" s="107"/>
      <c r="B129" s="106" t="s">
        <v>299</v>
      </c>
      <c r="C129" s="109">
        <v>0.4</v>
      </c>
      <c r="D129" s="111" t="s">
        <v>153</v>
      </c>
      <c r="E129" s="112">
        <v>0.6</v>
      </c>
      <c r="F129" s="113" t="s">
        <v>154</v>
      </c>
      <c r="G129" s="101" t="s">
        <v>155</v>
      </c>
      <c r="H129" s="101">
        <f t="shared" si="4"/>
        <v>1384.3895064864298</v>
      </c>
      <c r="I129" s="139">
        <v>1079.3820000000001</v>
      </c>
      <c r="J129" s="96"/>
      <c r="K129" s="36"/>
      <c r="L129" s="96"/>
      <c r="M129" s="97"/>
      <c r="N129" s="16"/>
      <c r="O129" s="96"/>
      <c r="P129" s="18"/>
    </row>
    <row r="130" spans="1:16" s="12" customFormat="1" ht="45">
      <c r="A130" s="107"/>
      <c r="B130" s="106" t="s">
        <v>300</v>
      </c>
      <c r="C130" s="109">
        <v>0.4</v>
      </c>
      <c r="D130" s="111" t="s">
        <v>153</v>
      </c>
      <c r="E130" s="112">
        <v>1.2</v>
      </c>
      <c r="F130" s="113" t="s">
        <v>154</v>
      </c>
      <c r="G130" s="101" t="s">
        <v>155</v>
      </c>
      <c r="H130" s="101">
        <f t="shared" si="4"/>
        <v>2768.7790129728596</v>
      </c>
      <c r="I130" s="139">
        <v>2158.7640000000001</v>
      </c>
      <c r="J130" s="96"/>
      <c r="K130" s="36"/>
      <c r="L130" s="96"/>
      <c r="M130" s="97"/>
      <c r="N130" s="16"/>
      <c r="O130" s="96"/>
      <c r="P130" s="18"/>
    </row>
    <row r="131" spans="1:16" s="12" customFormat="1" ht="45">
      <c r="A131" s="107"/>
      <c r="B131" s="106" t="s">
        <v>301</v>
      </c>
      <c r="C131" s="109">
        <v>0.4</v>
      </c>
      <c r="D131" s="111" t="s">
        <v>153</v>
      </c>
      <c r="E131" s="112">
        <v>0.2</v>
      </c>
      <c r="F131" s="113" t="s">
        <v>154</v>
      </c>
      <c r="G131" s="101" t="s">
        <v>155</v>
      </c>
      <c r="H131" s="101">
        <f t="shared" si="4"/>
        <v>461.46316882881007</v>
      </c>
      <c r="I131" s="139">
        <v>359.79400000000004</v>
      </c>
      <c r="J131" s="96"/>
      <c r="K131" s="36"/>
      <c r="L131" s="96"/>
      <c r="M131" s="97"/>
      <c r="N131" s="16"/>
      <c r="O131" s="96"/>
      <c r="P131" s="18"/>
    </row>
    <row r="132" spans="1:16" s="12" customFormat="1" ht="45">
      <c r="A132" s="107"/>
      <c r="B132" s="106" t="s">
        <v>302</v>
      </c>
      <c r="C132" s="109">
        <v>0.4</v>
      </c>
      <c r="D132" s="111" t="s">
        <v>153</v>
      </c>
      <c r="E132" s="112">
        <v>0.7</v>
      </c>
      <c r="F132" s="113" t="s">
        <v>154</v>
      </c>
      <c r="G132" s="101" t="s">
        <v>155</v>
      </c>
      <c r="H132" s="101">
        <f t="shared" si="4"/>
        <v>1615.1210909008348</v>
      </c>
      <c r="I132" s="139">
        <v>1259.279</v>
      </c>
      <c r="J132" s="96"/>
      <c r="K132" s="36"/>
      <c r="L132" s="96"/>
      <c r="M132" s="97"/>
      <c r="N132" s="16"/>
      <c r="O132" s="96"/>
      <c r="P132" s="18"/>
    </row>
    <row r="133" spans="1:16" s="12" customFormat="1" ht="105">
      <c r="A133" s="107"/>
      <c r="B133" s="119" t="s">
        <v>172</v>
      </c>
      <c r="C133" s="109">
        <v>0.4</v>
      </c>
      <c r="D133" s="111" t="s">
        <v>153</v>
      </c>
      <c r="E133" s="112">
        <v>38.94</v>
      </c>
      <c r="F133" s="113" t="s">
        <v>154</v>
      </c>
      <c r="G133" s="101" t="s">
        <v>238</v>
      </c>
      <c r="H133" s="101">
        <f>(499*E133+517*E133+358*E133)*1.05*1.051*1.051*1.054*1.049*1.047</f>
        <v>71835.677454822115</v>
      </c>
      <c r="I133" s="120">
        <v>55260</v>
      </c>
      <c r="J133" s="96"/>
      <c r="K133" s="36"/>
      <c r="L133" s="96"/>
      <c r="M133" s="97"/>
      <c r="N133" s="16"/>
      <c r="O133" s="96"/>
      <c r="P133" s="18"/>
    </row>
    <row r="134" spans="1:16" s="12" customFormat="1" ht="75">
      <c r="A134" s="107"/>
      <c r="B134" s="106" t="s">
        <v>303</v>
      </c>
      <c r="C134" s="109">
        <v>0.4</v>
      </c>
      <c r="D134" s="111" t="s">
        <v>153</v>
      </c>
      <c r="E134" s="112">
        <v>0.35</v>
      </c>
      <c r="F134" s="113" t="s">
        <v>154</v>
      </c>
      <c r="G134" s="101" t="s">
        <v>155</v>
      </c>
      <c r="H134" s="101">
        <f t="shared" si="4"/>
        <v>807.56054545041741</v>
      </c>
      <c r="I134" s="120">
        <v>691.53349999999989</v>
      </c>
      <c r="J134" s="96"/>
      <c r="K134" s="36"/>
      <c r="L134" s="96"/>
      <c r="M134" s="97"/>
      <c r="N134" s="16"/>
      <c r="O134" s="96"/>
      <c r="P134" s="18"/>
    </row>
    <row r="135" spans="1:16" s="12" customFormat="1" ht="105">
      <c r="A135" s="107"/>
      <c r="B135" s="121" t="s">
        <v>182</v>
      </c>
      <c r="C135" s="109">
        <v>0.4</v>
      </c>
      <c r="D135" s="111" t="s">
        <v>153</v>
      </c>
      <c r="E135" s="112">
        <v>28.47</v>
      </c>
      <c r="F135" s="113" t="s">
        <v>154</v>
      </c>
      <c r="G135" s="101" t="s">
        <v>155</v>
      </c>
      <c r="H135" s="101">
        <f t="shared" si="4"/>
        <v>65689.282082781094</v>
      </c>
      <c r="I135" s="112">
        <v>53690.400000000001</v>
      </c>
      <c r="J135" s="96"/>
      <c r="K135" s="36"/>
      <c r="L135" s="96"/>
      <c r="M135" s="97"/>
      <c r="N135" s="16"/>
      <c r="O135" s="96"/>
      <c r="P135" s="18"/>
    </row>
    <row r="136" spans="1:16" s="12" customFormat="1" ht="60">
      <c r="A136" s="107"/>
      <c r="B136" s="121" t="s">
        <v>184</v>
      </c>
      <c r="C136" s="109">
        <v>0.4</v>
      </c>
      <c r="D136" s="111" t="s">
        <v>153</v>
      </c>
      <c r="E136" s="112">
        <v>8.08</v>
      </c>
      <c r="F136" s="113" t="s">
        <v>154</v>
      </c>
      <c r="G136" s="101" t="s">
        <v>155</v>
      </c>
      <c r="H136" s="101">
        <f t="shared" si="4"/>
        <v>18643.112020683922</v>
      </c>
      <c r="I136" s="112">
        <v>15244.25</v>
      </c>
      <c r="J136" s="96"/>
      <c r="K136" s="36"/>
      <c r="L136" s="96"/>
      <c r="M136" s="97"/>
      <c r="N136" s="16"/>
      <c r="O136" s="96"/>
      <c r="P136" s="18"/>
    </row>
    <row r="137" spans="1:16" s="12" customFormat="1">
      <c r="A137" s="107"/>
      <c r="B137" s="108" t="s">
        <v>305</v>
      </c>
      <c r="C137" s="109"/>
      <c r="D137" s="111"/>
      <c r="E137" s="109"/>
      <c r="F137" s="113"/>
      <c r="G137" s="126"/>
      <c r="H137" s="109"/>
      <c r="I137" s="122"/>
      <c r="J137" s="96"/>
      <c r="K137" s="36"/>
      <c r="L137" s="96"/>
      <c r="M137" s="97"/>
      <c r="N137" s="16"/>
      <c r="O137" s="96"/>
      <c r="P137" s="18"/>
    </row>
    <row r="138" spans="1:16" s="12" customFormat="1" ht="45">
      <c r="A138" s="107"/>
      <c r="B138" s="115" t="s">
        <v>157</v>
      </c>
      <c r="C138" s="109">
        <v>10</v>
      </c>
      <c r="D138" s="111" t="s">
        <v>158</v>
      </c>
      <c r="E138" s="141">
        <v>2.8039999999999998</v>
      </c>
      <c r="F138" s="113" t="s">
        <v>21</v>
      </c>
      <c r="G138" s="100" t="s">
        <v>159</v>
      </c>
      <c r="H138" s="101">
        <f t="shared" ref="H138:H145" si="5">(767*E138+699*E138+413*E138+6890*0.05*E138)*1.05*1.051</f>
        <v>6880.2965636999988</v>
      </c>
      <c r="I138" s="117">
        <v>6186.21</v>
      </c>
      <c r="J138" s="96"/>
      <c r="K138" s="36"/>
      <c r="L138" s="96"/>
      <c r="M138" s="97"/>
      <c r="N138" s="16"/>
      <c r="O138" s="96"/>
      <c r="P138" s="18"/>
    </row>
    <row r="139" spans="1:16" s="12" customFormat="1" ht="45">
      <c r="A139" s="107"/>
      <c r="B139" s="115" t="s">
        <v>161</v>
      </c>
      <c r="C139" s="109">
        <v>10</v>
      </c>
      <c r="D139" s="111" t="s">
        <v>158</v>
      </c>
      <c r="E139" s="116">
        <v>0.56999999999999995</v>
      </c>
      <c r="F139" s="113" t="s">
        <v>21</v>
      </c>
      <c r="G139" s="100" t="s">
        <v>159</v>
      </c>
      <c r="H139" s="101">
        <f t="shared" si="5"/>
        <v>1398.6337522499998</v>
      </c>
      <c r="I139" s="117">
        <v>1259.3399999999999</v>
      </c>
      <c r="J139" s="96"/>
      <c r="K139" s="36"/>
      <c r="L139" s="96"/>
      <c r="M139" s="97"/>
      <c r="N139" s="16"/>
      <c r="O139" s="96"/>
      <c r="P139" s="18"/>
    </row>
    <row r="140" spans="1:16" s="12" customFormat="1" ht="75">
      <c r="A140" s="107"/>
      <c r="B140" s="106" t="s">
        <v>164</v>
      </c>
      <c r="C140" s="109">
        <v>10</v>
      </c>
      <c r="D140" s="111" t="s">
        <v>158</v>
      </c>
      <c r="E140" s="109">
        <v>0.8</v>
      </c>
      <c r="F140" s="113" t="s">
        <v>21</v>
      </c>
      <c r="G140" s="100" t="s">
        <v>159</v>
      </c>
      <c r="H140" s="101">
        <f t="shared" si="5"/>
        <v>1962.9947400000001</v>
      </c>
      <c r="I140" s="118">
        <f>1623.98*0.8</f>
        <v>1299.1840000000002</v>
      </c>
      <c r="J140" s="96"/>
      <c r="K140" s="36"/>
      <c r="L140" s="96"/>
      <c r="M140" s="97"/>
      <c r="N140" s="16"/>
      <c r="O140" s="96"/>
      <c r="P140" s="18"/>
    </row>
    <row r="141" spans="1:16" s="12" customFormat="1" ht="75">
      <c r="A141" s="107"/>
      <c r="B141" s="106" t="s">
        <v>166</v>
      </c>
      <c r="C141" s="109">
        <v>10</v>
      </c>
      <c r="D141" s="111" t="s">
        <v>158</v>
      </c>
      <c r="E141" s="109">
        <v>1.1000000000000001</v>
      </c>
      <c r="F141" s="113" t="s">
        <v>21</v>
      </c>
      <c r="G141" s="100" t="s">
        <v>159</v>
      </c>
      <c r="H141" s="101">
        <f t="shared" si="5"/>
        <v>2699.1177675000004</v>
      </c>
      <c r="I141" s="118">
        <v>2430.2960000000003</v>
      </c>
      <c r="J141" s="96"/>
      <c r="K141" s="36"/>
      <c r="L141" s="96"/>
      <c r="M141" s="97"/>
      <c r="N141" s="16"/>
      <c r="O141" s="96"/>
      <c r="P141" s="18"/>
    </row>
    <row r="142" spans="1:16" s="12" customFormat="1" ht="60">
      <c r="A142" s="107"/>
      <c r="B142" s="106" t="s">
        <v>169</v>
      </c>
      <c r="C142" s="109">
        <v>10</v>
      </c>
      <c r="D142" s="111" t="s">
        <v>158</v>
      </c>
      <c r="E142" s="109">
        <v>0.9</v>
      </c>
      <c r="F142" s="113" t="s">
        <v>21</v>
      </c>
      <c r="G142" s="100" t="s">
        <v>159</v>
      </c>
      <c r="H142" s="101">
        <f t="shared" si="5"/>
        <v>2208.3690824999999</v>
      </c>
      <c r="I142" s="118">
        <v>1988.4240000000002</v>
      </c>
      <c r="J142" s="96"/>
      <c r="K142" s="36"/>
      <c r="L142" s="96"/>
      <c r="M142" s="97"/>
      <c r="N142" s="16"/>
      <c r="O142" s="96"/>
      <c r="P142" s="18"/>
    </row>
    <row r="143" spans="1:16" s="12" customFormat="1" ht="45">
      <c r="A143" s="107"/>
      <c r="B143" s="142" t="s">
        <v>171</v>
      </c>
      <c r="C143" s="109">
        <v>10</v>
      </c>
      <c r="D143" s="111" t="s">
        <v>158</v>
      </c>
      <c r="E143" s="109">
        <v>0.15</v>
      </c>
      <c r="F143" s="113" t="s">
        <v>21</v>
      </c>
      <c r="G143" s="100" t="s">
        <v>159</v>
      </c>
      <c r="H143" s="101">
        <f t="shared" si="5"/>
        <v>368.06151375000002</v>
      </c>
      <c r="I143" s="117">
        <v>331</v>
      </c>
      <c r="J143" s="96"/>
      <c r="K143" s="36"/>
      <c r="L143" s="96"/>
      <c r="M143" s="97"/>
      <c r="N143" s="16"/>
      <c r="O143" s="96"/>
      <c r="P143" s="18"/>
    </row>
    <row r="144" spans="1:16" s="12" customFormat="1" ht="120">
      <c r="A144" s="107"/>
      <c r="B144" s="119" t="s">
        <v>173</v>
      </c>
      <c r="C144" s="109">
        <v>10</v>
      </c>
      <c r="D144" s="111" t="s">
        <v>158</v>
      </c>
      <c r="E144" s="109">
        <v>1.0509999999999999</v>
      </c>
      <c r="F144" s="113" t="s">
        <v>21</v>
      </c>
      <c r="G144" s="100" t="s">
        <v>159</v>
      </c>
      <c r="H144" s="101">
        <f t="shared" si="5"/>
        <v>2578.8843396750003</v>
      </c>
      <c r="I144" s="120">
        <v>2119.87</v>
      </c>
      <c r="J144" s="96"/>
      <c r="K144" s="36"/>
      <c r="L144" s="96"/>
      <c r="M144" s="97"/>
      <c r="N144" s="16"/>
      <c r="O144" s="96"/>
      <c r="P144" s="18"/>
    </row>
    <row r="145" spans="1:16" s="12" customFormat="1" ht="105">
      <c r="A145" s="107"/>
      <c r="B145" s="106" t="s">
        <v>175</v>
      </c>
      <c r="C145" s="109">
        <v>10</v>
      </c>
      <c r="D145" s="111" t="s">
        <v>158</v>
      </c>
      <c r="E145" s="109">
        <v>0.6</v>
      </c>
      <c r="F145" s="113" t="s">
        <v>21</v>
      </c>
      <c r="G145" s="100" t="s">
        <v>159</v>
      </c>
      <c r="H145" s="101">
        <f t="shared" si="5"/>
        <v>1472.2460550000001</v>
      </c>
      <c r="I145" s="120">
        <v>1325.616</v>
      </c>
      <c r="J145" s="96"/>
      <c r="K145" s="36"/>
      <c r="L145" s="96"/>
      <c r="M145" s="97"/>
      <c r="N145" s="16"/>
      <c r="O145" s="96"/>
      <c r="P145" s="18"/>
    </row>
    <row r="146" spans="1:16" s="12" customFormat="1" ht="60">
      <c r="A146" s="107"/>
      <c r="B146" s="142" t="s">
        <v>176</v>
      </c>
      <c r="C146" s="109">
        <v>10</v>
      </c>
      <c r="D146" s="111" t="s">
        <v>158</v>
      </c>
      <c r="E146" s="143">
        <v>0.85</v>
      </c>
      <c r="F146" s="113" t="s">
        <v>21</v>
      </c>
      <c r="G146" s="100" t="s">
        <v>159</v>
      </c>
      <c r="H146" s="101">
        <f t="shared" ref="H146:H153" si="6">(767*E146+699*E146+413*E146+6890*0.05*E146)*1.05*1.051</f>
        <v>2085.6819112499998</v>
      </c>
      <c r="I146" s="144">
        <v>1877.9560000000001</v>
      </c>
      <c r="J146" s="96"/>
      <c r="K146" s="36"/>
      <c r="L146" s="96"/>
      <c r="M146" s="97"/>
      <c r="N146" s="16"/>
      <c r="O146" s="96"/>
      <c r="P146" s="18"/>
    </row>
    <row r="147" spans="1:16" s="12" customFormat="1" ht="60">
      <c r="A147" s="107"/>
      <c r="B147" s="142" t="s">
        <v>177</v>
      </c>
      <c r="C147" s="109">
        <v>10</v>
      </c>
      <c r="D147" s="111" t="s">
        <v>158</v>
      </c>
      <c r="E147" s="143">
        <v>0.25</v>
      </c>
      <c r="F147" s="113" t="s">
        <v>21</v>
      </c>
      <c r="G147" s="100" t="s">
        <v>159</v>
      </c>
      <c r="H147" s="101">
        <f t="shared" si="6"/>
        <v>613.43585625000003</v>
      </c>
      <c r="I147" s="144">
        <v>552.34</v>
      </c>
      <c r="J147" s="96"/>
      <c r="K147" s="36"/>
      <c r="L147" s="96"/>
      <c r="M147" s="97"/>
      <c r="N147" s="16"/>
      <c r="O147" s="96"/>
      <c r="P147" s="18"/>
    </row>
    <row r="148" spans="1:16" s="12" customFormat="1" ht="75">
      <c r="A148" s="107"/>
      <c r="B148" s="142" t="s">
        <v>178</v>
      </c>
      <c r="C148" s="109">
        <v>10</v>
      </c>
      <c r="D148" s="111" t="s">
        <v>158</v>
      </c>
      <c r="E148" s="143">
        <v>0.38</v>
      </c>
      <c r="F148" s="113" t="s">
        <v>21</v>
      </c>
      <c r="G148" s="100" t="s">
        <v>159</v>
      </c>
      <c r="H148" s="101">
        <f t="shared" si="6"/>
        <v>932.42250149999995</v>
      </c>
      <c r="I148" s="144">
        <v>839.55680000000007</v>
      </c>
      <c r="J148" s="96"/>
      <c r="K148" s="36"/>
      <c r="L148" s="96"/>
      <c r="M148" s="97"/>
      <c r="N148" s="16"/>
      <c r="O148" s="96"/>
      <c r="P148" s="18"/>
    </row>
    <row r="149" spans="1:16" s="12" customFormat="1" ht="45">
      <c r="A149" s="107"/>
      <c r="B149" s="142" t="s">
        <v>179</v>
      </c>
      <c r="C149" s="109">
        <v>10</v>
      </c>
      <c r="D149" s="111" t="s">
        <v>158</v>
      </c>
      <c r="E149" s="143">
        <v>0.4</v>
      </c>
      <c r="F149" s="113" t="s">
        <v>21</v>
      </c>
      <c r="G149" s="100" t="s">
        <v>159</v>
      </c>
      <c r="H149" s="101">
        <f t="shared" si="6"/>
        <v>981.49737000000005</v>
      </c>
      <c r="I149" s="144">
        <v>883.74400000000014</v>
      </c>
      <c r="J149" s="96"/>
      <c r="K149" s="36"/>
      <c r="L149" s="96"/>
      <c r="M149" s="97"/>
      <c r="N149" s="16"/>
      <c r="O149" s="96"/>
      <c r="P149" s="18"/>
    </row>
    <row r="150" spans="1:16" s="12" customFormat="1" ht="45">
      <c r="A150" s="107"/>
      <c r="B150" s="142" t="s">
        <v>180</v>
      </c>
      <c r="C150" s="109">
        <v>10</v>
      </c>
      <c r="D150" s="111" t="s">
        <v>158</v>
      </c>
      <c r="E150" s="143">
        <v>0.4</v>
      </c>
      <c r="F150" s="113" t="s">
        <v>21</v>
      </c>
      <c r="G150" s="100" t="s">
        <v>159</v>
      </c>
      <c r="H150" s="101">
        <f t="shared" si="6"/>
        <v>981.49737000000005</v>
      </c>
      <c r="I150" s="144">
        <v>883.74400000000014</v>
      </c>
      <c r="J150" s="96"/>
      <c r="K150" s="36"/>
      <c r="L150" s="96"/>
      <c r="M150" s="97"/>
      <c r="N150" s="16"/>
      <c r="O150" s="96"/>
      <c r="P150" s="18"/>
    </row>
    <row r="151" spans="1:16" s="12" customFormat="1" ht="45">
      <c r="A151" s="107"/>
      <c r="B151" s="142" t="s">
        <v>181</v>
      </c>
      <c r="C151" s="109">
        <v>10</v>
      </c>
      <c r="D151" s="111" t="s">
        <v>158</v>
      </c>
      <c r="E151" s="143">
        <v>0.7</v>
      </c>
      <c r="F151" s="113" t="s">
        <v>21</v>
      </c>
      <c r="G151" s="100" t="s">
        <v>159</v>
      </c>
      <c r="H151" s="101">
        <f t="shared" si="6"/>
        <v>1717.6203974999996</v>
      </c>
      <c r="I151" s="144">
        <v>1546.5519999999999</v>
      </c>
      <c r="J151" s="96"/>
      <c r="K151" s="36"/>
      <c r="L151" s="96"/>
      <c r="M151" s="97"/>
      <c r="N151" s="16"/>
      <c r="O151" s="96"/>
      <c r="P151" s="18"/>
    </row>
    <row r="152" spans="1:16" s="12" customFormat="1" ht="105">
      <c r="A152" s="107"/>
      <c r="B152" s="121" t="s">
        <v>183</v>
      </c>
      <c r="C152" s="109">
        <v>10</v>
      </c>
      <c r="D152" s="111" t="s">
        <v>158</v>
      </c>
      <c r="E152" s="143">
        <v>2.29</v>
      </c>
      <c r="F152" s="113" t="s">
        <v>21</v>
      </c>
      <c r="G152" s="100" t="s">
        <v>159</v>
      </c>
      <c r="H152" s="101">
        <f t="shared" si="6"/>
        <v>5619.0724432499992</v>
      </c>
      <c r="I152" s="120">
        <v>5537.25</v>
      </c>
      <c r="J152" s="96"/>
      <c r="K152" s="36"/>
      <c r="L152" s="96"/>
      <c r="M152" s="97"/>
      <c r="N152" s="16"/>
      <c r="O152" s="96"/>
      <c r="P152" s="18"/>
    </row>
    <row r="153" spans="1:16" s="12" customFormat="1" ht="60">
      <c r="A153" s="107"/>
      <c r="B153" s="121" t="s">
        <v>185</v>
      </c>
      <c r="C153" s="109">
        <v>10</v>
      </c>
      <c r="D153" s="111" t="s">
        <v>158</v>
      </c>
      <c r="E153" s="143">
        <v>1.04</v>
      </c>
      <c r="F153" s="113" t="s">
        <v>21</v>
      </c>
      <c r="G153" s="100" t="s">
        <v>159</v>
      </c>
      <c r="H153" s="101">
        <f t="shared" si="6"/>
        <v>2551.8931620000003</v>
      </c>
      <c r="I153" s="120">
        <v>2515.5</v>
      </c>
      <c r="J153" s="96"/>
      <c r="K153" s="36"/>
      <c r="L153" s="96"/>
      <c r="M153" s="97"/>
      <c r="N153" s="16"/>
      <c r="O153" s="96"/>
      <c r="P153" s="18"/>
    </row>
    <row r="154" spans="1:16" s="12" customFormat="1">
      <c r="A154" s="107"/>
      <c r="B154" s="145" t="s">
        <v>186</v>
      </c>
      <c r="C154" s="109"/>
      <c r="D154" s="111"/>
      <c r="E154" s="109"/>
      <c r="F154" s="113"/>
      <c r="G154" s="100"/>
      <c r="H154" s="101"/>
      <c r="I154" s="120"/>
      <c r="J154" s="96"/>
      <c r="K154" s="36"/>
      <c r="L154" s="96"/>
      <c r="M154" s="97"/>
      <c r="N154" s="16"/>
      <c r="O154" s="96"/>
      <c r="P154" s="18"/>
    </row>
    <row r="155" spans="1:16" s="12" customFormat="1" ht="45">
      <c r="A155" s="107"/>
      <c r="B155" s="115" t="s">
        <v>200</v>
      </c>
      <c r="C155" s="109">
        <v>10</v>
      </c>
      <c r="D155" s="111" t="s">
        <v>158</v>
      </c>
      <c r="E155" s="143">
        <v>0.66</v>
      </c>
      <c r="F155" s="113" t="s">
        <v>21</v>
      </c>
      <c r="G155" s="100" t="s">
        <v>159</v>
      </c>
      <c r="H155" s="101">
        <f t="shared" ref="H155:H161" si="7">(767*E155+699*E155+413*E155+6890*0.05*E155)*1.05*1.051*1.051</f>
        <v>1702.0636641855001</v>
      </c>
      <c r="I155" s="120">
        <v>1532.54</v>
      </c>
      <c r="J155" s="96"/>
      <c r="K155" s="36"/>
      <c r="L155" s="96"/>
      <c r="M155" s="97"/>
      <c r="N155" s="16"/>
      <c r="O155" s="96"/>
      <c r="P155" s="18"/>
    </row>
    <row r="156" spans="1:16" s="12" customFormat="1" ht="60">
      <c r="A156" s="107"/>
      <c r="B156" s="106" t="s">
        <v>203</v>
      </c>
      <c r="C156" s="109">
        <v>10</v>
      </c>
      <c r="D156" s="111" t="s">
        <v>158</v>
      </c>
      <c r="E156" s="143">
        <v>1.9</v>
      </c>
      <c r="F156" s="113" t="s">
        <v>21</v>
      </c>
      <c r="G156" s="100" t="s">
        <v>159</v>
      </c>
      <c r="H156" s="101">
        <f t="shared" si="7"/>
        <v>4899.8802453824983</v>
      </c>
      <c r="I156" s="118">
        <v>4197.7839999999997</v>
      </c>
      <c r="J156" s="96"/>
      <c r="K156" s="36"/>
      <c r="L156" s="96"/>
      <c r="M156" s="97"/>
      <c r="N156" s="16"/>
      <c r="O156" s="96"/>
      <c r="P156" s="18"/>
    </row>
    <row r="157" spans="1:16" s="12" customFormat="1" ht="60">
      <c r="A157" s="107"/>
      <c r="B157" s="106" t="s">
        <v>210</v>
      </c>
      <c r="C157" s="109">
        <v>10</v>
      </c>
      <c r="D157" s="111" t="s">
        <v>158</v>
      </c>
      <c r="E157" s="143">
        <v>0.35</v>
      </c>
      <c r="F157" s="113" t="s">
        <v>21</v>
      </c>
      <c r="G157" s="100" t="s">
        <v>159</v>
      </c>
      <c r="H157" s="101">
        <f t="shared" si="7"/>
        <v>902.6095188862497</v>
      </c>
      <c r="I157" s="118">
        <v>773.27599999999995</v>
      </c>
      <c r="J157" s="96"/>
      <c r="K157" s="36"/>
      <c r="L157" s="96"/>
      <c r="M157" s="97"/>
      <c r="N157" s="16"/>
      <c r="O157" s="96"/>
      <c r="P157" s="18"/>
    </row>
    <row r="158" spans="1:16" s="12" customFormat="1" ht="120">
      <c r="A158" s="107"/>
      <c r="B158" s="119" t="s">
        <v>173</v>
      </c>
      <c r="C158" s="109">
        <v>10</v>
      </c>
      <c r="D158" s="111" t="s">
        <v>158</v>
      </c>
      <c r="E158" s="143">
        <v>1.1100000000000001</v>
      </c>
      <c r="F158" s="113" t="s">
        <v>21</v>
      </c>
      <c r="G158" s="100" t="s">
        <v>159</v>
      </c>
      <c r="H158" s="101">
        <f t="shared" si="7"/>
        <v>2862.56161703925</v>
      </c>
      <c r="I158" s="120">
        <v>2227.98</v>
      </c>
      <c r="J158" s="96"/>
      <c r="K158" s="36"/>
      <c r="L158" s="96"/>
      <c r="M158" s="97"/>
      <c r="N158" s="16"/>
      <c r="O158" s="96"/>
      <c r="P158" s="18"/>
    </row>
    <row r="159" spans="1:16" s="12" customFormat="1" ht="45">
      <c r="A159" s="107"/>
      <c r="B159" s="146" t="s">
        <v>212</v>
      </c>
      <c r="C159" s="109">
        <v>10</v>
      </c>
      <c r="D159" s="111" t="s">
        <v>158</v>
      </c>
      <c r="E159" s="143">
        <v>0.75</v>
      </c>
      <c r="F159" s="113" t="s">
        <v>21</v>
      </c>
      <c r="G159" s="100" t="s">
        <v>159</v>
      </c>
      <c r="H159" s="101">
        <f t="shared" si="7"/>
        <v>1934.1632547562499</v>
      </c>
      <c r="I159" s="130">
        <v>1741.53</v>
      </c>
      <c r="J159" s="96"/>
      <c r="K159" s="36"/>
      <c r="L159" s="96"/>
      <c r="M159" s="97"/>
      <c r="N159" s="16"/>
      <c r="O159" s="96"/>
      <c r="P159" s="18"/>
    </row>
    <row r="160" spans="1:16" s="12" customFormat="1" ht="105">
      <c r="A160" s="107"/>
      <c r="B160" s="121" t="s">
        <v>183</v>
      </c>
      <c r="C160" s="109">
        <v>10</v>
      </c>
      <c r="D160" s="111" t="s">
        <v>158</v>
      </c>
      <c r="E160" s="143">
        <v>2.2999999999999998</v>
      </c>
      <c r="F160" s="113" t="s">
        <v>21</v>
      </c>
      <c r="G160" s="100" t="s">
        <v>159</v>
      </c>
      <c r="H160" s="101">
        <f t="shared" si="7"/>
        <v>5931.4339812524986</v>
      </c>
      <c r="I160" s="120">
        <v>5819.6</v>
      </c>
      <c r="J160" s="96"/>
      <c r="K160" s="36"/>
      <c r="L160" s="96"/>
      <c r="M160" s="97"/>
      <c r="N160" s="16"/>
      <c r="O160" s="96"/>
      <c r="P160" s="18"/>
    </row>
    <row r="161" spans="1:16" s="12" customFormat="1" ht="60">
      <c r="A161" s="107"/>
      <c r="B161" s="121" t="s">
        <v>185</v>
      </c>
      <c r="C161" s="109">
        <v>10</v>
      </c>
      <c r="D161" s="111" t="s">
        <v>158</v>
      </c>
      <c r="E161" s="143">
        <v>1.04</v>
      </c>
      <c r="F161" s="113" t="s">
        <v>21</v>
      </c>
      <c r="G161" s="100" t="s">
        <v>159</v>
      </c>
      <c r="H161" s="101">
        <f t="shared" si="7"/>
        <v>2682.0397132620001</v>
      </c>
      <c r="I161" s="120">
        <v>2643.75</v>
      </c>
      <c r="J161" s="96"/>
      <c r="K161" s="36"/>
      <c r="L161" s="96"/>
      <c r="M161" s="97"/>
      <c r="N161" s="16"/>
      <c r="O161" s="96"/>
      <c r="P161" s="18"/>
    </row>
    <row r="162" spans="1:16" s="12" customFormat="1">
      <c r="A162" s="107"/>
      <c r="B162" s="145" t="s">
        <v>213</v>
      </c>
      <c r="C162" s="109"/>
      <c r="D162" s="111"/>
      <c r="E162" s="109"/>
      <c r="F162" s="113"/>
      <c r="G162" s="100"/>
      <c r="H162" s="101"/>
      <c r="I162" s="120"/>
      <c r="J162" s="96"/>
      <c r="K162" s="36"/>
      <c r="L162" s="96"/>
      <c r="M162" s="97"/>
      <c r="N162" s="16"/>
      <c r="O162" s="96"/>
      <c r="P162" s="18"/>
    </row>
    <row r="163" spans="1:16" s="12" customFormat="1" ht="45">
      <c r="A163" s="107"/>
      <c r="B163" s="114" t="s">
        <v>217</v>
      </c>
      <c r="C163" s="109">
        <v>10</v>
      </c>
      <c r="D163" s="111" t="s">
        <v>158</v>
      </c>
      <c r="E163" s="143">
        <v>0.82</v>
      </c>
      <c r="F163" s="113" t="s">
        <v>21</v>
      </c>
      <c r="G163" s="100" t="s">
        <v>159</v>
      </c>
      <c r="H163" s="101">
        <f>(767*E163+699*E163+413*E163+6890*0.05*E163)*1.05*1.051*1.051*1.054</f>
        <v>2228.8781570943083</v>
      </c>
      <c r="I163" s="127">
        <v>2006.89</v>
      </c>
      <c r="J163" s="96"/>
      <c r="K163" s="36"/>
      <c r="L163" s="96"/>
      <c r="M163" s="97"/>
      <c r="N163" s="16"/>
      <c r="O163" s="96"/>
      <c r="P163" s="18"/>
    </row>
    <row r="164" spans="1:16" s="12" customFormat="1" ht="120">
      <c r="A164" s="107"/>
      <c r="B164" s="119" t="s">
        <v>173</v>
      </c>
      <c r="C164" s="109">
        <v>10</v>
      </c>
      <c r="D164" s="111" t="s">
        <v>158</v>
      </c>
      <c r="E164" s="143">
        <v>0.88200000000000001</v>
      </c>
      <c r="F164" s="113" t="s">
        <v>21</v>
      </c>
      <c r="G164" s="100" t="s">
        <v>159</v>
      </c>
      <c r="H164" s="101">
        <f>(767*E164+699*E164+413*E164+6890*0.05*E164)*1.05*1.051*1.051*1.054</f>
        <v>2397.4030909233911</v>
      </c>
      <c r="I164" s="120">
        <v>2348.3000000000002</v>
      </c>
      <c r="J164" s="96"/>
      <c r="K164" s="36"/>
      <c r="L164" s="96"/>
      <c r="M164" s="97"/>
      <c r="N164" s="16"/>
      <c r="O164" s="96"/>
      <c r="P164" s="18"/>
    </row>
    <row r="165" spans="1:16" s="12" customFormat="1" ht="45.75" thickBot="1">
      <c r="A165" s="107"/>
      <c r="B165" s="134" t="s">
        <v>239</v>
      </c>
      <c r="C165" s="109">
        <v>10</v>
      </c>
      <c r="D165" s="111" t="s">
        <v>158</v>
      </c>
      <c r="E165" s="143">
        <v>0.67</v>
      </c>
      <c r="F165" s="113" t="s">
        <v>21</v>
      </c>
      <c r="G165" s="100" t="s">
        <v>159</v>
      </c>
      <c r="H165" s="101">
        <f>(767*E165+699*E165+413*E165+6890*0.05*E165)*1.05*1.051*1.051*1.054</f>
        <v>1821.1565429916916</v>
      </c>
      <c r="I165" s="136">
        <v>1639.7781</v>
      </c>
      <c r="J165" s="96"/>
      <c r="K165" s="36"/>
      <c r="L165" s="96"/>
      <c r="M165" s="97"/>
      <c r="N165" s="16"/>
      <c r="O165" s="96"/>
      <c r="P165" s="18"/>
    </row>
    <row r="166" spans="1:16" s="12" customFormat="1" ht="75.75" thickTop="1">
      <c r="A166" s="107"/>
      <c r="B166" s="106" t="s">
        <v>240</v>
      </c>
      <c r="C166" s="109">
        <v>10</v>
      </c>
      <c r="D166" s="111" t="s">
        <v>158</v>
      </c>
      <c r="E166" s="143">
        <v>0.6</v>
      </c>
      <c r="F166" s="113" t="s">
        <v>21</v>
      </c>
      <c r="G166" s="100" t="s">
        <v>159</v>
      </c>
      <c r="H166" s="101">
        <f>(767*E166+699*E166+413*E166+6890*0.05*E166)*1.05*1.051*1.051*1.054</f>
        <v>1630.8864564104701</v>
      </c>
      <c r="I166" s="120">
        <v>1468.4579999999999</v>
      </c>
      <c r="J166" s="96"/>
      <c r="K166" s="36"/>
      <c r="L166" s="96"/>
      <c r="M166" s="97"/>
      <c r="N166" s="16"/>
      <c r="O166" s="96"/>
      <c r="P166" s="18"/>
    </row>
    <row r="167" spans="1:16" s="12" customFormat="1" ht="45">
      <c r="A167" s="107"/>
      <c r="B167" s="147" t="s">
        <v>241</v>
      </c>
      <c r="C167" s="109">
        <v>10</v>
      </c>
      <c r="D167" s="111" t="s">
        <v>158</v>
      </c>
      <c r="E167" s="148">
        <v>0.35499999999999998</v>
      </c>
      <c r="F167" s="113" t="s">
        <v>21</v>
      </c>
      <c r="G167" s="100" t="s">
        <v>159</v>
      </c>
      <c r="H167" s="101">
        <f t="shared" ref="H167:H171" si="8">(767*E167+699*E167+413*E167+6890*0.05*E167)*1.05*1.051*1.051*1.054</f>
        <v>964.94115337619462</v>
      </c>
      <c r="I167" s="149">
        <v>868.83671899119997</v>
      </c>
      <c r="J167" s="96"/>
      <c r="K167" s="36"/>
      <c r="L167" s="96"/>
      <c r="M167" s="97"/>
      <c r="N167" s="16"/>
      <c r="O167" s="96"/>
      <c r="P167" s="18"/>
    </row>
    <row r="168" spans="1:16" s="12" customFormat="1" ht="45">
      <c r="A168" s="107"/>
      <c r="B168" s="147" t="s">
        <v>242</v>
      </c>
      <c r="C168" s="109">
        <v>10</v>
      </c>
      <c r="D168" s="111" t="s">
        <v>158</v>
      </c>
      <c r="E168" s="148">
        <v>0.32500000000000001</v>
      </c>
      <c r="F168" s="113" t="s">
        <v>21</v>
      </c>
      <c r="G168" s="100" t="s">
        <v>159</v>
      </c>
      <c r="H168" s="101">
        <f t="shared" si="8"/>
        <v>883.39683055567116</v>
      </c>
      <c r="I168" s="149">
        <v>795.413897668</v>
      </c>
      <c r="J168" s="96"/>
      <c r="K168" s="36"/>
      <c r="L168" s="96"/>
      <c r="M168" s="97"/>
      <c r="N168" s="16"/>
      <c r="O168" s="96"/>
      <c r="P168" s="18"/>
    </row>
    <row r="169" spans="1:16" s="12" customFormat="1" ht="105">
      <c r="A169" s="107"/>
      <c r="B169" s="121" t="s">
        <v>183</v>
      </c>
      <c r="C169" s="109">
        <v>10</v>
      </c>
      <c r="D169" s="111" t="s">
        <v>158</v>
      </c>
      <c r="E169" s="148">
        <v>2.2999999999999998</v>
      </c>
      <c r="F169" s="113" t="s">
        <v>21</v>
      </c>
      <c r="G169" s="100" t="s">
        <v>159</v>
      </c>
      <c r="H169" s="101">
        <f t="shared" si="8"/>
        <v>6251.7314162401335</v>
      </c>
      <c r="I169" s="120">
        <v>6110.6</v>
      </c>
      <c r="J169" s="96"/>
      <c r="K169" s="36"/>
      <c r="L169" s="96"/>
      <c r="M169" s="97"/>
      <c r="N169" s="16"/>
      <c r="O169" s="96"/>
      <c r="P169" s="18"/>
    </row>
    <row r="170" spans="1:16" s="12" customFormat="1" ht="60">
      <c r="A170" s="107"/>
      <c r="B170" s="121" t="s">
        <v>185</v>
      </c>
      <c r="C170" s="109">
        <v>10</v>
      </c>
      <c r="D170" s="111" t="s">
        <v>158</v>
      </c>
      <c r="E170" s="148">
        <v>1.04</v>
      </c>
      <c r="F170" s="113" t="s">
        <v>21</v>
      </c>
      <c r="G170" s="100" t="s">
        <v>159</v>
      </c>
      <c r="H170" s="101">
        <f t="shared" si="8"/>
        <v>2826.8698577781483</v>
      </c>
      <c r="I170" s="122">
        <v>2775.9500000000003</v>
      </c>
      <c r="J170" s="96"/>
      <c r="K170" s="36"/>
      <c r="L170" s="96"/>
      <c r="M170" s="97"/>
      <c r="N170" s="16"/>
      <c r="O170" s="96"/>
      <c r="P170" s="18"/>
    </row>
    <row r="171" spans="1:16" s="12" customFormat="1">
      <c r="A171" s="107"/>
      <c r="B171" s="150" t="s">
        <v>243</v>
      </c>
      <c r="C171" s="109"/>
      <c r="D171" s="111"/>
      <c r="E171" s="148"/>
      <c r="F171" s="113"/>
      <c r="G171" s="100"/>
      <c r="H171" s="101">
        <f t="shared" si="8"/>
        <v>0</v>
      </c>
      <c r="I171" s="122"/>
      <c r="J171" s="96"/>
      <c r="K171" s="36"/>
      <c r="L171" s="96"/>
      <c r="M171" s="97"/>
      <c r="N171" s="16"/>
      <c r="O171" s="96"/>
      <c r="P171" s="18"/>
    </row>
    <row r="172" spans="1:16" s="12" customFormat="1" ht="120">
      <c r="A172" s="107"/>
      <c r="B172" s="106" t="s">
        <v>251</v>
      </c>
      <c r="C172" s="109">
        <v>10</v>
      </c>
      <c r="D172" s="111" t="s">
        <v>158</v>
      </c>
      <c r="E172" s="148">
        <v>2.5</v>
      </c>
      <c r="F172" s="113" t="s">
        <v>21</v>
      </c>
      <c r="G172" s="100" t="s">
        <v>159</v>
      </c>
      <c r="H172" s="101">
        <f>(767*E172+699*E172+413*E172+6890*0.18*E172)*1.05*1.051*1.051*1.054*1.049</f>
        <v>9999.8632515225236</v>
      </c>
      <c r="I172" s="120">
        <v>9375.74</v>
      </c>
      <c r="J172" s="96"/>
      <c r="K172" s="36"/>
      <c r="L172" s="96"/>
      <c r="M172" s="97"/>
      <c r="N172" s="16"/>
      <c r="O172" s="96"/>
      <c r="P172" s="18"/>
    </row>
    <row r="173" spans="1:16" s="12" customFormat="1" ht="45">
      <c r="A173" s="107"/>
      <c r="B173" s="115" t="s">
        <v>252</v>
      </c>
      <c r="C173" s="109">
        <v>10</v>
      </c>
      <c r="D173" s="111" t="s">
        <v>158</v>
      </c>
      <c r="E173" s="148">
        <v>0.53300000000000003</v>
      </c>
      <c r="F173" s="113" t="s">
        <v>21</v>
      </c>
      <c r="G173" s="100" t="s">
        <v>159</v>
      </c>
      <c r="H173" s="101">
        <f>(767*E173+699*E173+413*E173+6890*0.05*E173)*1.05*1.051*1.051*1.054*1.049</f>
        <v>1519.7605714147544</v>
      </c>
      <c r="I173" s="120">
        <v>1368.4</v>
      </c>
      <c r="J173" s="96"/>
      <c r="K173" s="36"/>
      <c r="L173" s="96"/>
      <c r="M173" s="97"/>
      <c r="N173" s="16"/>
      <c r="O173" s="96"/>
      <c r="P173" s="18"/>
    </row>
    <row r="174" spans="1:16" s="12" customFormat="1" ht="75">
      <c r="A174" s="107"/>
      <c r="B174" s="106" t="s">
        <v>262</v>
      </c>
      <c r="C174" s="109">
        <v>10</v>
      </c>
      <c r="D174" s="111" t="s">
        <v>158</v>
      </c>
      <c r="E174" s="148">
        <v>0.7</v>
      </c>
      <c r="F174" s="113" t="s">
        <v>21</v>
      </c>
      <c r="G174" s="100" t="s">
        <v>159</v>
      </c>
      <c r="H174" s="101">
        <f>(767*E174+699*E174+413*E174+6890*0.05*E174)*1.05*1.051*1.051*1.054*1.049</f>
        <v>1995.9332082370129</v>
      </c>
      <c r="I174" s="120">
        <v>1625.4279999999999</v>
      </c>
      <c r="J174" s="96"/>
      <c r="K174" s="36"/>
      <c r="L174" s="96"/>
      <c r="M174" s="97"/>
      <c r="N174" s="16"/>
      <c r="O174" s="96"/>
      <c r="P174" s="18"/>
    </row>
    <row r="175" spans="1:16" s="12" customFormat="1" ht="60">
      <c r="A175" s="107"/>
      <c r="B175" s="106" t="s">
        <v>263</v>
      </c>
      <c r="C175" s="109">
        <v>10</v>
      </c>
      <c r="D175" s="111" t="s">
        <v>158</v>
      </c>
      <c r="E175" s="112">
        <v>0.3</v>
      </c>
      <c r="F175" s="113" t="s">
        <v>21</v>
      </c>
      <c r="G175" s="100" t="s">
        <v>159</v>
      </c>
      <c r="H175" s="101">
        <f t="shared" ref="H175:H181" si="9">(767*E175+699*E175+413*E175+6890*0.05*E175)*1.05*1.051*1.051*1.054*1.049</f>
        <v>855.39994638729149</v>
      </c>
      <c r="I175" s="120">
        <v>696.61199999999997</v>
      </c>
      <c r="J175" s="96"/>
      <c r="K175" s="36"/>
      <c r="L175" s="96"/>
      <c r="M175" s="97"/>
      <c r="N175" s="16"/>
      <c r="O175" s="96"/>
      <c r="P175" s="18"/>
    </row>
    <row r="176" spans="1:16" s="12" customFormat="1" ht="60">
      <c r="A176" s="107"/>
      <c r="B176" s="106" t="s">
        <v>264</v>
      </c>
      <c r="C176" s="109">
        <v>10</v>
      </c>
      <c r="D176" s="111" t="s">
        <v>158</v>
      </c>
      <c r="E176" s="112">
        <v>0.25</v>
      </c>
      <c r="F176" s="113" t="s">
        <v>21</v>
      </c>
      <c r="G176" s="100" t="s">
        <v>159</v>
      </c>
      <c r="H176" s="101">
        <f t="shared" si="9"/>
        <v>712.83328865607621</v>
      </c>
      <c r="I176" s="120">
        <v>580.51</v>
      </c>
      <c r="J176" s="96"/>
      <c r="K176" s="36"/>
      <c r="L176" s="96"/>
      <c r="M176" s="97"/>
      <c r="N176" s="16"/>
      <c r="O176" s="96"/>
      <c r="P176" s="18"/>
    </row>
    <row r="177" spans="1:16" s="12" customFormat="1" ht="120">
      <c r="A177" s="107"/>
      <c r="B177" s="119" t="s">
        <v>173</v>
      </c>
      <c r="C177" s="109">
        <v>10</v>
      </c>
      <c r="D177" s="111" t="s">
        <v>158</v>
      </c>
      <c r="E177" s="112">
        <v>1.002</v>
      </c>
      <c r="F177" s="113" t="s">
        <v>21</v>
      </c>
      <c r="G177" s="100" t="s">
        <v>159</v>
      </c>
      <c r="H177" s="101">
        <f t="shared" si="9"/>
        <v>2857.0358209335536</v>
      </c>
      <c r="I177" s="120">
        <v>2463.36</v>
      </c>
      <c r="J177" s="96"/>
      <c r="K177" s="36"/>
      <c r="L177" s="96"/>
      <c r="M177" s="97"/>
      <c r="N177" s="16"/>
      <c r="O177" s="96"/>
      <c r="P177" s="18"/>
    </row>
    <row r="178" spans="1:16" s="12" customFormat="1" ht="75">
      <c r="A178" s="107"/>
      <c r="B178" s="106" t="s">
        <v>272</v>
      </c>
      <c r="C178" s="109">
        <v>10</v>
      </c>
      <c r="D178" s="111" t="s">
        <v>158</v>
      </c>
      <c r="E178" s="117">
        <v>3.7949999999999999</v>
      </c>
      <c r="F178" s="113" t="s">
        <v>21</v>
      </c>
      <c r="G178" s="100" t="s">
        <v>159</v>
      </c>
      <c r="H178" s="101">
        <f t="shared" si="9"/>
        <v>10820.809321799234</v>
      </c>
      <c r="I178" s="151">
        <v>9789.09</v>
      </c>
      <c r="J178" s="96"/>
      <c r="K178" s="36"/>
      <c r="L178" s="96"/>
      <c r="M178" s="97"/>
      <c r="N178" s="16"/>
      <c r="O178" s="96"/>
      <c r="P178" s="18"/>
    </row>
    <row r="179" spans="1:16" s="12" customFormat="1" ht="105">
      <c r="A179" s="107"/>
      <c r="B179" s="121" t="s">
        <v>183</v>
      </c>
      <c r="C179" s="109">
        <v>10</v>
      </c>
      <c r="D179" s="111" t="s">
        <v>158</v>
      </c>
      <c r="E179" s="117">
        <v>2.31</v>
      </c>
      <c r="F179" s="113" t="s">
        <v>21</v>
      </c>
      <c r="G179" s="100" t="s">
        <v>159</v>
      </c>
      <c r="H179" s="101">
        <f t="shared" si="9"/>
        <v>6586.5795871821438</v>
      </c>
      <c r="I179" s="120">
        <v>6410</v>
      </c>
      <c r="J179" s="96"/>
      <c r="K179" s="36"/>
      <c r="L179" s="96"/>
      <c r="M179" s="97"/>
      <c r="N179" s="16"/>
      <c r="O179" s="96"/>
      <c r="P179" s="18"/>
    </row>
    <row r="180" spans="1:16" s="12" customFormat="1" ht="60">
      <c r="A180" s="107"/>
      <c r="B180" s="121" t="s">
        <v>185</v>
      </c>
      <c r="C180" s="109">
        <v>10</v>
      </c>
      <c r="D180" s="111" t="s">
        <v>158</v>
      </c>
      <c r="E180" s="117">
        <v>1.05</v>
      </c>
      <c r="F180" s="113" t="s">
        <v>21</v>
      </c>
      <c r="G180" s="100" t="s">
        <v>159</v>
      </c>
      <c r="H180" s="101">
        <f t="shared" si="9"/>
        <v>2993.8998123555207</v>
      </c>
      <c r="I180" s="122">
        <v>2912</v>
      </c>
      <c r="J180" s="96"/>
      <c r="K180" s="36"/>
      <c r="L180" s="96"/>
      <c r="M180" s="97"/>
      <c r="N180" s="16"/>
      <c r="O180" s="96"/>
      <c r="P180" s="18"/>
    </row>
    <row r="181" spans="1:16" s="12" customFormat="1">
      <c r="A181" s="107"/>
      <c r="B181" s="150" t="s">
        <v>273</v>
      </c>
      <c r="C181" s="109"/>
      <c r="D181" s="111"/>
      <c r="E181" s="148"/>
      <c r="F181" s="113"/>
      <c r="G181" s="100"/>
      <c r="H181" s="101">
        <f t="shared" si="9"/>
        <v>0</v>
      </c>
      <c r="I181" s="122"/>
      <c r="J181" s="96"/>
      <c r="K181" s="36"/>
      <c r="L181" s="96"/>
      <c r="M181" s="97"/>
      <c r="N181" s="16"/>
      <c r="O181" s="96"/>
      <c r="P181" s="18"/>
    </row>
    <row r="182" spans="1:16" s="12" customFormat="1" ht="90">
      <c r="A182" s="107"/>
      <c r="B182" s="106" t="s">
        <v>282</v>
      </c>
      <c r="C182" s="109">
        <v>10</v>
      </c>
      <c r="D182" s="111" t="s">
        <v>158</v>
      </c>
      <c r="E182" s="117">
        <v>2</v>
      </c>
      <c r="F182" s="113" t="s">
        <v>21</v>
      </c>
      <c r="G182" s="100" t="s">
        <v>159</v>
      </c>
      <c r="H182" s="101">
        <f>(767*E182+699*E182+413*E182+6890*0.05*E182)*1.05*1.051*1.051*1.054*1.049*1.047</f>
        <v>5970.6916257832936</v>
      </c>
      <c r="I182" s="112">
        <v>5376.04</v>
      </c>
      <c r="J182" s="96"/>
      <c r="K182" s="36"/>
      <c r="L182" s="96"/>
      <c r="M182" s="97"/>
      <c r="N182" s="16"/>
      <c r="O182" s="96"/>
      <c r="P182" s="18"/>
    </row>
    <row r="183" spans="1:16" s="12" customFormat="1" ht="45">
      <c r="A183" s="107"/>
      <c r="B183" s="115" t="s">
        <v>284</v>
      </c>
      <c r="C183" s="109">
        <v>10</v>
      </c>
      <c r="D183" s="111" t="s">
        <v>158</v>
      </c>
      <c r="E183" s="140">
        <v>5.8000000000000003E-2</v>
      </c>
      <c r="F183" s="113" t="s">
        <v>21</v>
      </c>
      <c r="G183" s="100" t="s">
        <v>159</v>
      </c>
      <c r="H183" s="101">
        <f t="shared" ref="H183:H188" si="10">(767*E183+699*E183+413*E183+6890*0.05*E183)*1.05*1.051*1.051*1.054*1.049*1.047</f>
        <v>173.15005714771547</v>
      </c>
      <c r="I183" s="120">
        <v>155.9</v>
      </c>
      <c r="J183" s="96"/>
      <c r="K183" s="36"/>
      <c r="L183" s="96"/>
      <c r="M183" s="97"/>
      <c r="N183" s="16"/>
      <c r="O183" s="96"/>
      <c r="P183" s="18"/>
    </row>
    <row r="184" spans="1:16" s="12" customFormat="1" ht="45">
      <c r="A184" s="107"/>
      <c r="B184" s="115" t="s">
        <v>285</v>
      </c>
      <c r="C184" s="109">
        <v>10</v>
      </c>
      <c r="D184" s="111" t="s">
        <v>158</v>
      </c>
      <c r="E184" s="140">
        <v>2.2999999999999998</v>
      </c>
      <c r="F184" s="113" t="s">
        <v>21</v>
      </c>
      <c r="G184" s="100" t="s">
        <v>159</v>
      </c>
      <c r="H184" s="101">
        <f t="shared" si="10"/>
        <v>6866.2953696507857</v>
      </c>
      <c r="I184" s="120">
        <v>6182.44</v>
      </c>
      <c r="J184" s="96"/>
      <c r="K184" s="36"/>
      <c r="L184" s="96"/>
      <c r="M184" s="97"/>
      <c r="N184" s="16"/>
      <c r="O184" s="96"/>
      <c r="P184" s="18"/>
    </row>
    <row r="185" spans="1:16" s="12" customFormat="1" ht="120">
      <c r="A185" s="107"/>
      <c r="B185" s="119" t="s">
        <v>173</v>
      </c>
      <c r="C185" s="109">
        <v>10</v>
      </c>
      <c r="D185" s="111" t="s">
        <v>158</v>
      </c>
      <c r="E185" s="140">
        <v>1.01</v>
      </c>
      <c r="F185" s="113" t="s">
        <v>21</v>
      </c>
      <c r="G185" s="100" t="s">
        <v>159</v>
      </c>
      <c r="H185" s="101">
        <f t="shared" si="10"/>
        <v>3015.1992710205636</v>
      </c>
      <c r="I185" s="120">
        <v>2579.14</v>
      </c>
      <c r="J185" s="96"/>
      <c r="K185" s="36"/>
      <c r="L185" s="96"/>
      <c r="M185" s="97"/>
      <c r="N185" s="16"/>
      <c r="O185" s="96"/>
      <c r="P185" s="18"/>
    </row>
    <row r="186" spans="1:16" s="12" customFormat="1" ht="60">
      <c r="A186" s="107"/>
      <c r="B186" s="106" t="s">
        <v>304</v>
      </c>
      <c r="C186" s="109">
        <v>10</v>
      </c>
      <c r="D186" s="111" t="s">
        <v>158</v>
      </c>
      <c r="E186" s="140">
        <v>1.5</v>
      </c>
      <c r="F186" s="113" t="s">
        <v>21</v>
      </c>
      <c r="G186" s="100" t="s">
        <v>159</v>
      </c>
      <c r="H186" s="101">
        <f t="shared" si="10"/>
        <v>4478.0187193374704</v>
      </c>
      <c r="I186" s="120">
        <v>4032.0299999999997</v>
      </c>
      <c r="J186" s="96"/>
      <c r="K186" s="36"/>
      <c r="L186" s="96"/>
      <c r="M186" s="97"/>
      <c r="N186" s="16"/>
      <c r="O186" s="96"/>
      <c r="P186" s="18"/>
    </row>
    <row r="187" spans="1:16" s="12" customFormat="1" ht="105">
      <c r="A187" s="107"/>
      <c r="B187" s="121" t="s">
        <v>183</v>
      </c>
      <c r="C187" s="109">
        <v>10</v>
      </c>
      <c r="D187" s="111" t="s">
        <v>158</v>
      </c>
      <c r="E187" s="140">
        <v>2.31</v>
      </c>
      <c r="F187" s="113" t="s">
        <v>21</v>
      </c>
      <c r="G187" s="100" t="s">
        <v>159</v>
      </c>
      <c r="H187" s="101">
        <f t="shared" si="10"/>
        <v>6896.1488277797043</v>
      </c>
      <c r="I187" s="122">
        <v>6711.3</v>
      </c>
      <c r="J187" s="96"/>
      <c r="K187" s="36"/>
      <c r="L187" s="96"/>
      <c r="M187" s="97"/>
      <c r="N187" s="16"/>
      <c r="O187" s="96"/>
      <c r="P187" s="18"/>
    </row>
    <row r="188" spans="1:16" s="12" customFormat="1" ht="60">
      <c r="A188" s="107"/>
      <c r="B188" s="121" t="s">
        <v>185</v>
      </c>
      <c r="C188" s="109">
        <v>10</v>
      </c>
      <c r="D188" s="111" t="s">
        <v>158</v>
      </c>
      <c r="E188" s="140">
        <v>1.05</v>
      </c>
      <c r="F188" s="113" t="s">
        <v>21</v>
      </c>
      <c r="G188" s="100" t="s">
        <v>159</v>
      </c>
      <c r="H188" s="101">
        <f t="shared" si="10"/>
        <v>3134.61310353623</v>
      </c>
      <c r="I188" s="122">
        <v>3048.8500000000004</v>
      </c>
      <c r="J188" s="96"/>
      <c r="K188" s="36"/>
      <c r="L188" s="96"/>
      <c r="M188" s="97"/>
      <c r="N188" s="16"/>
      <c r="O188" s="96"/>
      <c r="P188" s="18"/>
    </row>
    <row r="189" spans="1:16" s="12" customFormat="1">
      <c r="A189" s="95"/>
      <c r="B189" s="105"/>
      <c r="C189" s="96"/>
      <c r="D189" s="36"/>
      <c r="E189" s="104"/>
      <c r="F189" s="97"/>
      <c r="G189" s="100"/>
      <c r="H189" s="96"/>
      <c r="I189" s="18"/>
      <c r="J189" s="96"/>
      <c r="K189" s="36"/>
      <c r="L189" s="96"/>
      <c r="M189" s="97"/>
      <c r="N189" s="16"/>
      <c r="O189" s="96"/>
      <c r="P189" s="18"/>
    </row>
    <row r="190" spans="1:16" s="12" customFormat="1">
      <c r="A190" s="95"/>
      <c r="B190" s="105"/>
      <c r="C190" s="96"/>
      <c r="D190" s="36"/>
      <c r="E190" s="104"/>
      <c r="F190" s="97"/>
      <c r="G190" s="100"/>
      <c r="H190" s="96"/>
      <c r="I190" s="18"/>
      <c r="J190" s="96"/>
      <c r="K190" s="36"/>
      <c r="L190" s="96"/>
      <c r="M190" s="97"/>
      <c r="N190" s="16"/>
      <c r="O190" s="96"/>
      <c r="P190" s="18"/>
    </row>
    <row r="191" spans="1:16" s="12" customFormat="1">
      <c r="A191" s="95"/>
      <c r="B191" s="105"/>
      <c r="C191" s="96"/>
      <c r="D191" s="36"/>
      <c r="E191" s="104"/>
      <c r="F191" s="97"/>
      <c r="G191" s="100"/>
      <c r="H191" s="96"/>
      <c r="I191" s="18"/>
      <c r="J191" s="96"/>
      <c r="K191" s="36"/>
      <c r="L191" s="96"/>
      <c r="M191" s="97"/>
      <c r="N191" s="16"/>
      <c r="O191" s="96"/>
      <c r="P191" s="18"/>
    </row>
    <row r="192" spans="1:16" s="12" customFormat="1">
      <c r="A192" s="95"/>
      <c r="B192" s="105"/>
      <c r="C192" s="96"/>
      <c r="D192" s="36"/>
      <c r="E192" s="104"/>
      <c r="F192" s="97"/>
      <c r="G192" s="100"/>
      <c r="H192" s="96"/>
      <c r="I192" s="18"/>
      <c r="J192" s="96"/>
      <c r="K192" s="36"/>
      <c r="L192" s="96"/>
      <c r="M192" s="97"/>
      <c r="N192" s="16"/>
      <c r="O192" s="96"/>
      <c r="P192" s="18"/>
    </row>
    <row r="193" spans="1:16" s="12" customFormat="1">
      <c r="A193" s="95"/>
      <c r="B193" s="103"/>
      <c r="C193" s="96"/>
      <c r="D193" s="36"/>
      <c r="E193" s="96"/>
      <c r="F193" s="97"/>
      <c r="G193" s="16"/>
      <c r="H193" s="96"/>
      <c r="I193" s="18"/>
      <c r="J193" s="96"/>
      <c r="K193" s="36"/>
      <c r="L193" s="96"/>
      <c r="M193" s="97"/>
      <c r="N193" s="16"/>
      <c r="O193" s="96"/>
      <c r="P193" s="18"/>
    </row>
    <row r="194" spans="1:16" s="12" customFormat="1">
      <c r="A194" s="95"/>
      <c r="B194" s="103"/>
      <c r="C194" s="96"/>
      <c r="D194" s="36"/>
      <c r="E194" s="96"/>
      <c r="F194" s="97"/>
      <c r="G194" s="16"/>
      <c r="H194" s="96"/>
      <c r="I194" s="18"/>
      <c r="J194" s="96"/>
      <c r="K194" s="36"/>
      <c r="L194" s="96"/>
      <c r="M194" s="97"/>
      <c r="N194" s="16"/>
      <c r="O194" s="96"/>
      <c r="P194" s="18"/>
    </row>
    <row r="195" spans="1:16" s="12" customFormat="1">
      <c r="A195" s="95"/>
      <c r="B195" s="103"/>
      <c r="C195" s="96"/>
      <c r="D195" s="36"/>
      <c r="E195" s="96"/>
      <c r="F195" s="97"/>
      <c r="G195" s="16"/>
      <c r="H195" s="96"/>
      <c r="I195" s="18"/>
      <c r="J195" s="96"/>
      <c r="K195" s="36"/>
      <c r="L195" s="96"/>
      <c r="M195" s="97"/>
      <c r="N195" s="16"/>
      <c r="O195" s="96"/>
      <c r="P195" s="18"/>
    </row>
    <row r="196" spans="1:16" s="12" customFormat="1">
      <c r="A196" s="95"/>
      <c r="B196" s="14"/>
      <c r="C196" s="96"/>
      <c r="D196" s="36"/>
      <c r="E196" s="96"/>
      <c r="F196" s="97"/>
      <c r="G196" s="16"/>
      <c r="H196" s="96"/>
      <c r="I196" s="18"/>
      <c r="J196" s="96"/>
      <c r="K196" s="36"/>
      <c r="L196" s="96"/>
      <c r="M196" s="97"/>
      <c r="N196" s="16"/>
      <c r="O196" s="96"/>
      <c r="P196" s="18"/>
    </row>
    <row r="197" spans="1:16" s="12" customFormat="1">
      <c r="A197" s="95"/>
      <c r="B197" s="14"/>
      <c r="C197" s="96"/>
      <c r="D197" s="36"/>
      <c r="E197" s="96"/>
      <c r="F197" s="97"/>
      <c r="G197" s="16"/>
      <c r="H197" s="96"/>
      <c r="I197" s="18"/>
      <c r="J197" s="96"/>
      <c r="K197" s="36"/>
      <c r="L197" s="96"/>
      <c r="M197" s="97"/>
      <c r="N197" s="16"/>
      <c r="O197" s="96"/>
      <c r="P197" s="18"/>
    </row>
    <row r="198" spans="1:16" s="12" customFormat="1">
      <c r="A198" s="95"/>
      <c r="B198" s="14"/>
      <c r="C198" s="96"/>
      <c r="D198" s="36"/>
      <c r="E198" s="96"/>
      <c r="F198" s="97"/>
      <c r="G198" s="16"/>
      <c r="H198" s="96"/>
      <c r="I198" s="18"/>
      <c r="J198" s="96"/>
      <c r="K198" s="36"/>
      <c r="L198" s="96"/>
      <c r="M198" s="97"/>
      <c r="N198" s="16"/>
      <c r="O198" s="96"/>
      <c r="P198" s="18"/>
    </row>
    <row r="199" spans="1:16" s="12" customFormat="1">
      <c r="A199" s="95"/>
      <c r="B199" s="14"/>
      <c r="C199" s="96"/>
      <c r="D199" s="36"/>
      <c r="E199" s="96"/>
      <c r="F199" s="97"/>
      <c r="G199" s="16"/>
      <c r="H199" s="96"/>
      <c r="I199" s="18"/>
      <c r="J199" s="96"/>
      <c r="K199" s="36"/>
      <c r="L199" s="96"/>
      <c r="M199" s="97"/>
      <c r="N199" s="16"/>
      <c r="O199" s="96"/>
      <c r="P199" s="18"/>
    </row>
    <row r="200" spans="1:16" s="19" customFormat="1" ht="30" customHeight="1">
      <c r="A200" s="78">
        <v>3</v>
      </c>
      <c r="B200" s="15" t="s">
        <v>6</v>
      </c>
      <c r="C200" s="89" t="s">
        <v>107</v>
      </c>
      <c r="D200" s="89" t="s">
        <v>107</v>
      </c>
      <c r="E200" s="89" t="s">
        <v>107</v>
      </c>
      <c r="F200" s="89" t="s">
        <v>107</v>
      </c>
      <c r="G200" s="89" t="s">
        <v>107</v>
      </c>
      <c r="H200" s="89" t="s">
        <v>107</v>
      </c>
      <c r="I200" s="89" t="s">
        <v>107</v>
      </c>
      <c r="J200" s="89" t="s">
        <v>107</v>
      </c>
      <c r="K200" s="89" t="s">
        <v>107</v>
      </c>
      <c r="L200" s="89" t="s">
        <v>107</v>
      </c>
      <c r="M200" s="89" t="s">
        <v>107</v>
      </c>
      <c r="N200" s="89" t="s">
        <v>107</v>
      </c>
      <c r="O200" s="89" t="s">
        <v>107</v>
      </c>
      <c r="P200" s="89" t="s">
        <v>107</v>
      </c>
    </row>
    <row r="201" spans="1:16" s="19" customFormat="1" ht="30" customHeight="1">
      <c r="A201" s="78" t="s">
        <v>85</v>
      </c>
      <c r="B201" s="14" t="s">
        <v>74</v>
      </c>
      <c r="C201" s="89"/>
      <c r="D201" s="89" t="s">
        <v>19</v>
      </c>
      <c r="E201" s="89">
        <v>1</v>
      </c>
      <c r="F201" s="89" t="s">
        <v>17</v>
      </c>
      <c r="G201" s="16" t="s">
        <v>101</v>
      </c>
      <c r="H201" s="21"/>
      <c r="I201" s="18"/>
      <c r="J201" s="89"/>
      <c r="K201" s="89" t="s">
        <v>19</v>
      </c>
      <c r="L201" s="89">
        <v>1</v>
      </c>
      <c r="M201" s="89" t="s">
        <v>17</v>
      </c>
      <c r="N201" s="16" t="s">
        <v>101</v>
      </c>
      <c r="O201" s="21"/>
      <c r="P201" s="18"/>
    </row>
    <row r="202" spans="1:16" s="19" customFormat="1" ht="30" customHeight="1">
      <c r="A202" s="78" t="s">
        <v>86</v>
      </c>
      <c r="B202" s="14" t="s">
        <v>75</v>
      </c>
      <c r="C202" s="89"/>
      <c r="D202" s="89" t="s">
        <v>19</v>
      </c>
      <c r="E202" s="89">
        <v>1</v>
      </c>
      <c r="F202" s="89" t="s">
        <v>17</v>
      </c>
      <c r="G202" s="16" t="s">
        <v>101</v>
      </c>
      <c r="H202" s="21"/>
      <c r="I202" s="18"/>
      <c r="J202" s="89"/>
      <c r="K202" s="89" t="s">
        <v>19</v>
      </c>
      <c r="L202" s="89">
        <v>1</v>
      </c>
      <c r="M202" s="89" t="s">
        <v>17</v>
      </c>
      <c r="N202" s="16" t="s">
        <v>101</v>
      </c>
      <c r="O202" s="21"/>
      <c r="P202" s="18"/>
    </row>
    <row r="203" spans="1:16" s="19" customFormat="1" ht="30" customHeight="1">
      <c r="A203" s="78" t="s">
        <v>1</v>
      </c>
      <c r="B203" s="14" t="s">
        <v>1</v>
      </c>
      <c r="C203" s="89"/>
      <c r="D203" s="89"/>
      <c r="E203" s="89"/>
      <c r="F203" s="89"/>
      <c r="G203" s="16"/>
      <c r="H203" s="21"/>
      <c r="I203" s="18"/>
      <c r="J203" s="89"/>
      <c r="K203" s="89"/>
      <c r="L203" s="89"/>
      <c r="M203" s="89"/>
      <c r="N203" s="16"/>
      <c r="O203" s="21"/>
      <c r="P203" s="18"/>
    </row>
    <row r="204" spans="1:16" s="19" customFormat="1" ht="30" customHeight="1">
      <c r="A204" s="78" t="s">
        <v>103</v>
      </c>
      <c r="B204" s="14" t="s">
        <v>105</v>
      </c>
      <c r="C204" s="89"/>
      <c r="D204" s="89" t="s">
        <v>104</v>
      </c>
      <c r="E204" s="89">
        <v>1</v>
      </c>
      <c r="F204" s="89" t="s">
        <v>17</v>
      </c>
      <c r="G204" s="16" t="s">
        <v>102</v>
      </c>
      <c r="H204" s="21"/>
      <c r="I204" s="18"/>
      <c r="J204" s="89"/>
      <c r="K204" s="89" t="s">
        <v>104</v>
      </c>
      <c r="L204" s="89">
        <v>1</v>
      </c>
      <c r="M204" s="89" t="s">
        <v>17</v>
      </c>
      <c r="N204" s="16" t="s">
        <v>102</v>
      </c>
      <c r="O204" s="21"/>
      <c r="P204" s="18"/>
    </row>
    <row r="205" spans="1:16" s="19" customFormat="1" ht="30" customHeight="1">
      <c r="A205" s="78" t="s">
        <v>103</v>
      </c>
      <c r="B205" s="14" t="s">
        <v>128</v>
      </c>
      <c r="C205" s="89"/>
      <c r="D205" s="89" t="s">
        <v>104</v>
      </c>
      <c r="E205" s="89">
        <v>1</v>
      </c>
      <c r="F205" s="89" t="s">
        <v>17</v>
      </c>
      <c r="G205" s="16" t="s">
        <v>102</v>
      </c>
      <c r="H205" s="21"/>
      <c r="I205" s="18"/>
      <c r="J205" s="89"/>
      <c r="K205" s="89" t="s">
        <v>104</v>
      </c>
      <c r="L205" s="89">
        <v>1</v>
      </c>
      <c r="M205" s="89" t="s">
        <v>17</v>
      </c>
      <c r="N205" s="16" t="s">
        <v>102</v>
      </c>
      <c r="O205" s="21"/>
      <c r="P205" s="18"/>
    </row>
    <row r="206" spans="1:16" s="19" customFormat="1" ht="15" customHeight="1">
      <c r="A206" s="78" t="s">
        <v>1</v>
      </c>
      <c r="B206" s="14" t="s">
        <v>1</v>
      </c>
      <c r="C206" s="89"/>
      <c r="D206" s="89"/>
      <c r="E206" s="89"/>
      <c r="F206" s="89"/>
      <c r="G206" s="16"/>
      <c r="H206" s="21"/>
      <c r="I206" s="18"/>
      <c r="J206" s="89"/>
      <c r="K206" s="89"/>
      <c r="L206" s="89"/>
      <c r="M206" s="89"/>
      <c r="N206" s="16"/>
      <c r="O206" s="21"/>
      <c r="P206" s="18"/>
    </row>
    <row r="207" spans="1:16" s="19" customFormat="1" ht="51" customHeight="1">
      <c r="A207" s="78"/>
      <c r="B207" s="51" t="s">
        <v>111</v>
      </c>
      <c r="C207" s="90" t="s">
        <v>107</v>
      </c>
      <c r="D207" s="90" t="s">
        <v>107</v>
      </c>
      <c r="E207" s="90" t="s">
        <v>107</v>
      </c>
      <c r="F207" s="90" t="s">
        <v>107</v>
      </c>
      <c r="G207" s="90" t="s">
        <v>107</v>
      </c>
      <c r="H207" s="90" t="s">
        <v>107</v>
      </c>
      <c r="I207" s="90"/>
      <c r="J207" s="90" t="s">
        <v>107</v>
      </c>
      <c r="K207" s="90" t="s">
        <v>107</v>
      </c>
      <c r="L207" s="90" t="s">
        <v>107</v>
      </c>
      <c r="M207" s="90" t="s">
        <v>107</v>
      </c>
      <c r="N207" s="90" t="s">
        <v>107</v>
      </c>
      <c r="O207" s="90" t="s">
        <v>107</v>
      </c>
      <c r="P207" s="90"/>
    </row>
    <row r="208" spans="1:16" ht="15.75" customHeight="1">
      <c r="A208" s="80"/>
      <c r="B208" s="34"/>
      <c r="C208" s="28"/>
      <c r="D208" s="92"/>
      <c r="E208" s="92"/>
      <c r="F208" s="92"/>
      <c r="G208" s="91"/>
      <c r="H208" s="91"/>
      <c r="I208" s="35"/>
      <c r="J208" s="32"/>
      <c r="K208" s="32"/>
    </row>
    <row r="209" spans="1:9" s="53" customFormat="1" ht="18.75" customHeight="1">
      <c r="A209" s="306"/>
      <c r="B209" s="306"/>
      <c r="C209" s="306"/>
      <c r="D209" s="306"/>
      <c r="E209" s="306"/>
      <c r="F209" s="306"/>
      <c r="G209" s="306"/>
      <c r="H209" s="91"/>
      <c r="I209" s="35"/>
    </row>
    <row r="210" spans="1:9" s="53" customFormat="1" ht="41.25" customHeight="1">
      <c r="A210" s="306"/>
      <c r="B210" s="306"/>
      <c r="C210" s="306"/>
      <c r="D210" s="306"/>
      <c r="E210" s="306"/>
      <c r="F210" s="306"/>
      <c r="G210" s="306"/>
      <c r="H210" s="91"/>
      <c r="I210" s="35"/>
    </row>
    <row r="211" spans="1:9" s="53" customFormat="1" ht="38.25" customHeight="1">
      <c r="A211" s="306"/>
      <c r="B211" s="306"/>
      <c r="C211" s="306"/>
      <c r="D211" s="306"/>
      <c r="E211" s="306"/>
      <c r="F211" s="306"/>
      <c r="G211" s="306"/>
      <c r="H211" s="94"/>
      <c r="I211" s="35"/>
    </row>
    <row r="212" spans="1:9" s="53" customFormat="1" ht="18.75" customHeight="1">
      <c r="A212" s="307"/>
      <c r="B212" s="307"/>
      <c r="C212" s="307"/>
      <c r="D212" s="307"/>
      <c r="E212" s="307"/>
      <c r="F212" s="307"/>
      <c r="G212" s="307"/>
      <c r="H212" s="91"/>
      <c r="I212" s="35"/>
    </row>
    <row r="213" spans="1:9" s="53" customFormat="1" ht="42" customHeight="1">
      <c r="A213" s="302"/>
      <c r="B213" s="305"/>
      <c r="C213" s="305"/>
      <c r="D213" s="305"/>
      <c r="E213" s="305"/>
      <c r="F213" s="305"/>
      <c r="G213" s="305"/>
      <c r="H213" s="91"/>
      <c r="I213" s="35"/>
    </row>
    <row r="214" spans="1:9" ht="53.25" customHeight="1">
      <c r="A214" s="302"/>
      <c r="B214" s="303"/>
      <c r="C214" s="303"/>
      <c r="D214" s="303"/>
      <c r="E214" s="303"/>
      <c r="F214" s="303"/>
      <c r="G214" s="303"/>
    </row>
    <row r="215" spans="1:9">
      <c r="A215" s="304"/>
      <c r="B215" s="304"/>
      <c r="C215" s="304"/>
      <c r="D215" s="304"/>
      <c r="E215" s="304"/>
      <c r="F215" s="304"/>
      <c r="G215" s="304"/>
    </row>
    <row r="216" spans="1:9">
      <c r="B216" s="94"/>
    </row>
    <row r="220" spans="1:9">
      <c r="B220" s="94"/>
    </row>
  </sheetData>
  <protectedRanges>
    <protectedRange password="CE28" sqref="B9:B14" name="Диапазон1"/>
    <protectedRange password="CE28" sqref="B27:B35" name="Диапазон1_3"/>
    <protectedRange password="CE28" sqref="B38" name="Диапазон1_10"/>
    <protectedRange password="CE28" sqref="B53:B57" name="Диапазон1_4"/>
    <protectedRange password="CE28" sqref="E56:E57" name="Диапазон1_5"/>
    <protectedRange password="CE28" sqref="I56:I57" name="Диапазон1_6"/>
    <protectedRange password="CE28" sqref="B163" name="Диапазон1_4_1"/>
    <protectedRange password="CE28" sqref="I163" name="Диапазон1_6_1"/>
    <protectedRange password="CE28" sqref="B80:B86" name="Диапазон1_7"/>
    <protectedRange password="CE28" sqref="B107:B110" name="Диапазон1_9"/>
    <protectedRange password="CE28" sqref="E107" name="Диапазон1_11"/>
    <protectedRange password="CE28" sqref="I107" name="Диапазон1_12"/>
  </protectedRanges>
  <mergeCells count="18">
    <mergeCell ref="A212:G212"/>
    <mergeCell ref="A213:G213"/>
    <mergeCell ref="A214:G214"/>
    <mergeCell ref="A215:G215"/>
    <mergeCell ref="A209:G209"/>
    <mergeCell ref="A210:G210"/>
    <mergeCell ref="A211:G211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58" fitToHeight="0" orientation="portrait" r:id="rId1"/>
  <headerFooter differentFirst="1">
    <oddHeader>&amp;C&amp;P</oddHeader>
  </headerFooter>
  <rowBreaks count="1" manualBreakCount="1">
    <brk id="207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39"/>
  <sheetViews>
    <sheetView view="pageBreakPreview" zoomScale="85" zoomScaleNormal="70" zoomScaleSheetLayoutView="85" workbookViewId="0">
      <selection activeCell="B157" sqref="B157"/>
    </sheetView>
  </sheetViews>
  <sheetFormatPr defaultRowHeight="15.75"/>
  <cols>
    <col min="1" max="1" width="7.625" style="7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7" customWidth="1"/>
    <col min="8" max="8" width="16.75" style="87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>
      <c r="A1" s="80"/>
      <c r="B1" s="34"/>
      <c r="C1" s="28"/>
      <c r="D1" s="92"/>
      <c r="E1" s="92"/>
      <c r="F1" s="92"/>
      <c r="G1" s="91"/>
      <c r="H1" s="91"/>
      <c r="I1" s="35"/>
      <c r="J1" s="32"/>
      <c r="K1" s="32"/>
    </row>
    <row r="2" spans="1:16" ht="15.75" customHeight="1">
      <c r="A2" s="292" t="s">
        <v>307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</row>
    <row r="3" spans="1:16" ht="15.75" customHeight="1">
      <c r="A3" s="291" t="s">
        <v>0</v>
      </c>
      <c r="B3" s="285" t="s">
        <v>2</v>
      </c>
      <c r="C3" s="287" t="s">
        <v>41</v>
      </c>
      <c r="D3" s="287"/>
      <c r="E3" s="287"/>
      <c r="F3" s="287"/>
      <c r="G3" s="287"/>
      <c r="H3" s="287"/>
      <c r="I3" s="287"/>
      <c r="J3" s="287" t="s">
        <v>42</v>
      </c>
      <c r="K3" s="287"/>
      <c r="L3" s="287"/>
      <c r="M3" s="287"/>
      <c r="N3" s="287"/>
      <c r="O3" s="287"/>
      <c r="P3" s="287"/>
    </row>
    <row r="4" spans="1:16" ht="33" customHeight="1">
      <c r="A4" s="291"/>
      <c r="B4" s="285"/>
      <c r="C4" s="285" t="s">
        <v>62</v>
      </c>
      <c r="D4" s="285"/>
      <c r="E4" s="285"/>
      <c r="F4" s="285"/>
      <c r="G4" s="285"/>
      <c r="H4" s="285"/>
      <c r="I4" s="285"/>
      <c r="J4" s="288" t="s">
        <v>62</v>
      </c>
      <c r="K4" s="289"/>
      <c r="L4" s="289"/>
      <c r="M4" s="289"/>
      <c r="N4" s="289"/>
      <c r="O4" s="289"/>
      <c r="P4" s="290"/>
    </row>
    <row r="5" spans="1:16" ht="33.75" customHeight="1">
      <c r="A5" s="291"/>
      <c r="B5" s="285"/>
      <c r="C5" s="285" t="s">
        <v>13</v>
      </c>
      <c r="D5" s="285"/>
      <c r="E5" s="285"/>
      <c r="F5" s="285"/>
      <c r="G5" s="285" t="s">
        <v>108</v>
      </c>
      <c r="H5" s="286"/>
      <c r="I5" s="286"/>
      <c r="J5" s="285" t="s">
        <v>13</v>
      </c>
      <c r="K5" s="285"/>
      <c r="L5" s="285"/>
      <c r="M5" s="285"/>
      <c r="N5" s="285" t="s">
        <v>108</v>
      </c>
      <c r="O5" s="286"/>
      <c r="P5" s="286"/>
    </row>
    <row r="6" spans="1:16" s="9" customFormat="1" ht="63">
      <c r="A6" s="291"/>
      <c r="B6" s="285"/>
      <c r="C6" s="89" t="s">
        <v>25</v>
      </c>
      <c r="D6" s="89" t="s">
        <v>9</v>
      </c>
      <c r="E6" s="89" t="s">
        <v>100</v>
      </c>
      <c r="F6" s="89" t="s">
        <v>11</v>
      </c>
      <c r="G6" s="89" t="s">
        <v>14</v>
      </c>
      <c r="H6" s="89" t="s">
        <v>48</v>
      </c>
      <c r="I6" s="13" t="s">
        <v>49</v>
      </c>
      <c r="J6" s="89" t="s">
        <v>25</v>
      </c>
      <c r="K6" s="89" t="s">
        <v>9</v>
      </c>
      <c r="L6" s="89" t="s">
        <v>100</v>
      </c>
      <c r="M6" s="89" t="s">
        <v>11</v>
      </c>
      <c r="N6" s="89" t="s">
        <v>14</v>
      </c>
      <c r="O6" s="89" t="s">
        <v>50</v>
      </c>
      <c r="P6" s="13" t="s">
        <v>49</v>
      </c>
    </row>
    <row r="7" spans="1:16" s="12" customFormat="1">
      <c r="A7" s="75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13">
        <v>9</v>
      </c>
      <c r="J7" s="89">
        <v>10</v>
      </c>
      <c r="K7" s="13">
        <v>11</v>
      </c>
      <c r="L7" s="89">
        <v>12</v>
      </c>
      <c r="M7" s="13">
        <v>13</v>
      </c>
      <c r="N7" s="89">
        <v>14</v>
      </c>
      <c r="O7" s="13">
        <v>15</v>
      </c>
      <c r="P7" s="89">
        <v>16</v>
      </c>
    </row>
    <row r="8" spans="1:16" s="12" customFormat="1">
      <c r="A8" s="75"/>
      <c r="B8" s="10" t="s">
        <v>359</v>
      </c>
      <c r="C8" s="96"/>
      <c r="D8" s="96"/>
      <c r="E8" s="96"/>
      <c r="F8" s="96"/>
      <c r="G8" s="96"/>
      <c r="H8" s="96"/>
      <c r="I8" s="13"/>
      <c r="J8" s="96"/>
      <c r="K8" s="13"/>
      <c r="L8" s="96"/>
      <c r="M8" s="13"/>
      <c r="N8" s="96"/>
      <c r="O8" s="13"/>
      <c r="P8" s="96"/>
    </row>
    <row r="9" spans="1:16" s="12" customFormat="1" ht="58.5" customHeight="1">
      <c r="A9" s="78"/>
      <c r="B9" s="179" t="s">
        <v>308</v>
      </c>
      <c r="C9" s="109" t="s">
        <v>107</v>
      </c>
      <c r="D9" s="109" t="s">
        <v>107</v>
      </c>
      <c r="E9" s="109" t="s">
        <v>107</v>
      </c>
      <c r="F9" s="109" t="s">
        <v>107</v>
      </c>
      <c r="G9" s="109" t="s">
        <v>107</v>
      </c>
      <c r="H9" s="109" t="s">
        <v>107</v>
      </c>
      <c r="I9" s="109" t="s">
        <v>107</v>
      </c>
      <c r="J9" s="89" t="s">
        <v>107</v>
      </c>
      <c r="K9" s="89" t="s">
        <v>107</v>
      </c>
      <c r="L9" s="89" t="s">
        <v>107</v>
      </c>
      <c r="M9" s="89" t="s">
        <v>107</v>
      </c>
      <c r="N9" s="89" t="s">
        <v>107</v>
      </c>
      <c r="O9" s="89" t="s">
        <v>107</v>
      </c>
      <c r="P9" s="89" t="s">
        <v>107</v>
      </c>
    </row>
    <row r="10" spans="1:16" s="12" customFormat="1" ht="120">
      <c r="A10" s="78"/>
      <c r="B10" s="119" t="s">
        <v>309</v>
      </c>
      <c r="C10" s="109"/>
      <c r="D10" s="111"/>
      <c r="E10" s="109"/>
      <c r="F10" s="113"/>
      <c r="G10" s="126"/>
      <c r="H10" s="141"/>
      <c r="I10" s="122"/>
      <c r="J10" s="89"/>
      <c r="K10" s="36" t="s">
        <v>132</v>
      </c>
      <c r="L10" s="89"/>
      <c r="M10" s="93" t="s">
        <v>3</v>
      </c>
      <c r="N10" s="16" t="s">
        <v>39</v>
      </c>
      <c r="O10" s="89"/>
      <c r="P10" s="18"/>
    </row>
    <row r="11" spans="1:16" s="12" customFormat="1" ht="60">
      <c r="A11" s="78"/>
      <c r="B11" s="119" t="s">
        <v>314</v>
      </c>
      <c r="C11" s="109">
        <v>0.4</v>
      </c>
      <c r="D11" s="111" t="s">
        <v>350</v>
      </c>
      <c r="E11" s="109">
        <v>0.47</v>
      </c>
      <c r="F11" s="113" t="s">
        <v>21</v>
      </c>
      <c r="G11" s="126" t="s">
        <v>311</v>
      </c>
      <c r="H11" s="141">
        <f>(448*0.2+722*0.27)*1.06*1.05*1.051</f>
        <v>332.84436402</v>
      </c>
      <c r="I11" s="122"/>
      <c r="J11" s="96"/>
      <c r="K11" s="36"/>
      <c r="L11" s="96"/>
      <c r="M11" s="97"/>
      <c r="N11" s="16"/>
      <c r="O11" s="96"/>
      <c r="P11" s="18"/>
    </row>
    <row r="12" spans="1:16" s="12" customFormat="1">
      <c r="A12" s="78"/>
      <c r="B12" s="180" t="s">
        <v>112</v>
      </c>
      <c r="C12" s="109">
        <v>0.4</v>
      </c>
      <c r="D12" s="111">
        <v>1</v>
      </c>
      <c r="E12" s="109">
        <v>0.47</v>
      </c>
      <c r="F12" s="113" t="s">
        <v>21</v>
      </c>
      <c r="G12" s="126" t="s">
        <v>312</v>
      </c>
      <c r="H12" s="141">
        <f>E12*1338*1.05*1.051</f>
        <v>693.97845299999994</v>
      </c>
      <c r="I12" s="109"/>
      <c r="J12" s="89" t="s">
        <v>107</v>
      </c>
      <c r="K12" s="89" t="s">
        <v>107</v>
      </c>
      <c r="L12" s="89" t="s">
        <v>107</v>
      </c>
      <c r="M12" s="89" t="s">
        <v>107</v>
      </c>
      <c r="N12" s="89" t="s">
        <v>107</v>
      </c>
      <c r="O12" s="89" t="s">
        <v>107</v>
      </c>
      <c r="P12" s="89" t="s">
        <v>107</v>
      </c>
    </row>
    <row r="13" spans="1:16" s="12" customFormat="1" ht="51" customHeight="1">
      <c r="A13" s="78"/>
      <c r="B13" s="181" t="s">
        <v>20</v>
      </c>
      <c r="C13" s="109">
        <v>0.4</v>
      </c>
      <c r="D13" s="111" t="s">
        <v>129</v>
      </c>
      <c r="E13" s="109">
        <v>0.2</v>
      </c>
      <c r="F13" s="182" t="s">
        <v>21</v>
      </c>
      <c r="G13" s="126" t="s">
        <v>313</v>
      </c>
      <c r="H13" s="109">
        <f>E13*15329</f>
        <v>3065.8</v>
      </c>
      <c r="I13" s="109"/>
      <c r="J13" s="89" t="s">
        <v>107</v>
      </c>
      <c r="K13" s="89" t="s">
        <v>107</v>
      </c>
      <c r="L13" s="89" t="s">
        <v>107</v>
      </c>
      <c r="M13" s="89" t="s">
        <v>107</v>
      </c>
      <c r="N13" s="89" t="s">
        <v>107</v>
      </c>
      <c r="O13" s="89" t="s">
        <v>107</v>
      </c>
      <c r="P13" s="89" t="s">
        <v>107</v>
      </c>
    </row>
    <row r="14" spans="1:16" s="12" customFormat="1">
      <c r="A14" s="78"/>
      <c r="B14" s="183" t="s">
        <v>310</v>
      </c>
      <c r="C14" s="184"/>
      <c r="D14" s="185"/>
      <c r="E14" s="184"/>
      <c r="F14" s="186"/>
      <c r="G14" s="187"/>
      <c r="H14" s="188">
        <f>H11+H12+H13</f>
        <v>4092.6228170200002</v>
      </c>
      <c r="I14" s="189">
        <v>1589.91</v>
      </c>
      <c r="J14" s="96"/>
      <c r="K14" s="36"/>
      <c r="L14" s="96"/>
      <c r="M14" s="37"/>
      <c r="N14" s="16"/>
      <c r="O14" s="96"/>
      <c r="P14" s="18"/>
    </row>
    <row r="15" spans="1:16" s="12" customFormat="1" ht="57">
      <c r="A15" s="78"/>
      <c r="B15" s="190" t="s">
        <v>345</v>
      </c>
      <c r="C15" s="109"/>
      <c r="D15" s="111"/>
      <c r="E15" s="109"/>
      <c r="F15" s="182"/>
      <c r="G15" s="126"/>
      <c r="H15" s="141"/>
      <c r="I15" s="122"/>
      <c r="J15" s="96"/>
      <c r="K15" s="36"/>
      <c r="L15" s="96"/>
      <c r="M15" s="37"/>
      <c r="N15" s="16"/>
      <c r="O15" s="96"/>
      <c r="P15" s="18"/>
    </row>
    <row r="16" spans="1:16" s="12" customFormat="1" ht="45">
      <c r="A16" s="78"/>
      <c r="B16" s="191" t="s">
        <v>346</v>
      </c>
      <c r="C16" s="109"/>
      <c r="D16" s="111"/>
      <c r="E16" s="109"/>
      <c r="F16" s="182"/>
      <c r="G16" s="126"/>
      <c r="H16" s="141"/>
      <c r="I16" s="122"/>
      <c r="J16" s="96"/>
      <c r="K16" s="36"/>
      <c r="L16" s="96"/>
      <c r="M16" s="37"/>
      <c r="N16" s="16"/>
      <c r="O16" s="96"/>
      <c r="P16" s="18"/>
    </row>
    <row r="17" spans="1:16" s="12" customFormat="1" ht="60">
      <c r="A17" s="78"/>
      <c r="B17" s="119" t="s">
        <v>314</v>
      </c>
      <c r="C17" s="109">
        <v>0.4</v>
      </c>
      <c r="D17" s="111" t="s">
        <v>351</v>
      </c>
      <c r="E17" s="109">
        <v>9.0999999999999998E-2</v>
      </c>
      <c r="F17" s="113" t="s">
        <v>21</v>
      </c>
      <c r="G17" s="126" t="s">
        <v>347</v>
      </c>
      <c r="H17" s="141">
        <f>(722*E17)*1.06*1.05*1.051</f>
        <v>76.855768626</v>
      </c>
      <c r="I17" s="122"/>
      <c r="J17" s="96"/>
      <c r="K17" s="36"/>
      <c r="L17" s="96"/>
      <c r="M17" s="37"/>
      <c r="N17" s="16"/>
      <c r="O17" s="96"/>
      <c r="P17" s="18"/>
    </row>
    <row r="18" spans="1:16" s="12" customFormat="1">
      <c r="A18" s="78"/>
      <c r="B18" s="180" t="s">
        <v>112</v>
      </c>
      <c r="C18" s="109">
        <v>0.4</v>
      </c>
      <c r="D18" s="111">
        <v>1</v>
      </c>
      <c r="E18" s="109">
        <f>E17*0.5</f>
        <v>4.5499999999999999E-2</v>
      </c>
      <c r="F18" s="113" t="s">
        <v>21</v>
      </c>
      <c r="G18" s="126" t="s">
        <v>312</v>
      </c>
      <c r="H18" s="141">
        <f>E18*1338*1.05*1.051</f>
        <v>67.183020450000001</v>
      </c>
      <c r="I18" s="122"/>
      <c r="J18" s="96"/>
      <c r="K18" s="36"/>
      <c r="L18" s="96"/>
      <c r="M18" s="37"/>
      <c r="N18" s="16"/>
      <c r="O18" s="96"/>
      <c r="P18" s="18"/>
    </row>
    <row r="19" spans="1:16" s="12" customFormat="1" ht="60">
      <c r="A19" s="78"/>
      <c r="B19" s="181" t="s">
        <v>20</v>
      </c>
      <c r="C19" s="109">
        <v>0.4</v>
      </c>
      <c r="D19" s="111" t="s">
        <v>129</v>
      </c>
      <c r="E19" s="109">
        <f>E17-E18</f>
        <v>4.5499999999999999E-2</v>
      </c>
      <c r="F19" s="182" t="s">
        <v>21</v>
      </c>
      <c r="G19" s="126" t="s">
        <v>313</v>
      </c>
      <c r="H19" s="109">
        <f>E19*15329</f>
        <v>697.46949999999993</v>
      </c>
      <c r="I19" s="122"/>
      <c r="J19" s="96"/>
      <c r="K19" s="36"/>
      <c r="L19" s="96"/>
      <c r="M19" s="37"/>
      <c r="N19" s="16"/>
      <c r="O19" s="96"/>
      <c r="P19" s="18"/>
    </row>
    <row r="20" spans="1:16" s="12" customFormat="1">
      <c r="A20" s="78"/>
      <c r="B20" s="183" t="s">
        <v>310</v>
      </c>
      <c r="C20" s="184"/>
      <c r="D20" s="185"/>
      <c r="E20" s="184"/>
      <c r="F20" s="186"/>
      <c r="G20" s="187"/>
      <c r="H20" s="188">
        <f>H17+H18+H19</f>
        <v>841.50828907599998</v>
      </c>
      <c r="I20" s="192">
        <v>699.90507951000052</v>
      </c>
      <c r="J20" s="96"/>
      <c r="K20" s="36"/>
      <c r="L20" s="96"/>
      <c r="M20" s="37"/>
      <c r="N20" s="16"/>
      <c r="O20" s="96"/>
      <c r="P20" s="18"/>
    </row>
    <row r="21" spans="1:16" s="12" customFormat="1" ht="105">
      <c r="A21" s="78"/>
      <c r="B21" s="121" t="s">
        <v>348</v>
      </c>
      <c r="C21" s="109"/>
      <c r="D21" s="111"/>
      <c r="E21" s="109"/>
      <c r="F21" s="182"/>
      <c r="G21" s="126"/>
      <c r="H21" s="141"/>
      <c r="I21" s="122"/>
      <c r="J21" s="96"/>
      <c r="K21" s="36"/>
      <c r="L21" s="96"/>
      <c r="M21" s="37"/>
      <c r="N21" s="16"/>
      <c r="O21" s="96"/>
      <c r="P21" s="18"/>
    </row>
    <row r="22" spans="1:16" s="12" customFormat="1" ht="75">
      <c r="A22" s="78"/>
      <c r="B22" s="119" t="s">
        <v>314</v>
      </c>
      <c r="C22" s="109" t="s">
        <v>349</v>
      </c>
      <c r="D22" s="111" t="s">
        <v>356</v>
      </c>
      <c r="E22" s="109">
        <v>8.5</v>
      </c>
      <c r="F22" s="113" t="s">
        <v>21</v>
      </c>
      <c r="G22" s="126" t="s">
        <v>311</v>
      </c>
      <c r="H22" s="141">
        <f>(448*6+2136*2.5)*1.06*1.05*1.051</f>
        <v>9390.8573639999995</v>
      </c>
      <c r="I22" s="122"/>
      <c r="J22" s="96"/>
      <c r="K22" s="36"/>
      <c r="L22" s="96"/>
      <c r="M22" s="37"/>
      <c r="N22" s="16"/>
      <c r="O22" s="96"/>
      <c r="P22" s="18"/>
    </row>
    <row r="23" spans="1:16" s="12" customFormat="1">
      <c r="A23" s="78"/>
      <c r="B23" s="180" t="s">
        <v>112</v>
      </c>
      <c r="C23" s="109" t="s">
        <v>349</v>
      </c>
      <c r="D23" s="111">
        <v>1</v>
      </c>
      <c r="E23" s="109">
        <v>8.5</v>
      </c>
      <c r="F23" s="113" t="s">
        <v>21</v>
      </c>
      <c r="G23" s="126" t="s">
        <v>357</v>
      </c>
      <c r="H23" s="141">
        <f>(6*1338*1.05*1.051)+(2.5*496*1.05*1.051)</f>
        <v>10227.7014</v>
      </c>
      <c r="I23" s="122"/>
      <c r="J23" s="96"/>
      <c r="K23" s="36"/>
      <c r="L23" s="96"/>
      <c r="M23" s="37"/>
      <c r="N23" s="16"/>
      <c r="O23" s="96"/>
      <c r="P23" s="18"/>
    </row>
    <row r="24" spans="1:16" s="12" customFormat="1" ht="60">
      <c r="A24" s="78"/>
      <c r="B24" s="181" t="s">
        <v>20</v>
      </c>
      <c r="C24" s="109" t="s">
        <v>349</v>
      </c>
      <c r="D24" s="111" t="s">
        <v>129</v>
      </c>
      <c r="E24" s="109">
        <v>1</v>
      </c>
      <c r="F24" s="182" t="s">
        <v>21</v>
      </c>
      <c r="G24" s="126" t="s">
        <v>313</v>
      </c>
      <c r="H24" s="109">
        <f>E24*15329</f>
        <v>15329</v>
      </c>
      <c r="I24" s="122"/>
      <c r="J24" s="96"/>
      <c r="K24" s="36"/>
      <c r="L24" s="96"/>
      <c r="M24" s="37"/>
      <c r="N24" s="16"/>
      <c r="O24" s="96"/>
      <c r="P24" s="18"/>
    </row>
    <row r="25" spans="1:16" s="12" customFormat="1">
      <c r="A25" s="78"/>
      <c r="B25" s="183" t="s">
        <v>310</v>
      </c>
      <c r="C25" s="184"/>
      <c r="D25" s="185"/>
      <c r="E25" s="184"/>
      <c r="F25" s="186"/>
      <c r="G25" s="187"/>
      <c r="H25" s="188">
        <f>H22+H23+H24</f>
        <v>34947.558764000001</v>
      </c>
      <c r="I25" s="193">
        <v>27686.25</v>
      </c>
      <c r="J25" s="96"/>
      <c r="K25" s="36"/>
      <c r="L25" s="96"/>
      <c r="M25" s="37"/>
      <c r="N25" s="16"/>
      <c r="O25" s="96"/>
      <c r="P25" s="18"/>
    </row>
    <row r="26" spans="1:16" s="12" customFormat="1" ht="60">
      <c r="A26" s="78"/>
      <c r="B26" s="121" t="s">
        <v>358</v>
      </c>
      <c r="C26" s="109"/>
      <c r="D26" s="111"/>
      <c r="E26" s="109"/>
      <c r="F26" s="182"/>
      <c r="G26" s="126"/>
      <c r="H26" s="141"/>
      <c r="I26" s="122"/>
      <c r="J26" s="96"/>
      <c r="K26" s="36"/>
      <c r="L26" s="96"/>
      <c r="M26" s="37"/>
      <c r="N26" s="16"/>
      <c r="O26" s="96"/>
      <c r="P26" s="18"/>
    </row>
    <row r="27" spans="1:16" s="12" customFormat="1" ht="75">
      <c r="A27" s="78"/>
      <c r="B27" s="119" t="s">
        <v>314</v>
      </c>
      <c r="C27" s="109" t="s">
        <v>349</v>
      </c>
      <c r="D27" s="111" t="s">
        <v>356</v>
      </c>
      <c r="E27" s="109">
        <v>7.72</v>
      </c>
      <c r="F27" s="113" t="s">
        <v>21</v>
      </c>
      <c r="G27" s="126" t="s">
        <v>311</v>
      </c>
      <c r="H27" s="141">
        <f>(448*6+2136*1.2)*1.06*1.05*1.051</f>
        <v>6142.6594655999997</v>
      </c>
      <c r="I27" s="122"/>
      <c r="J27" s="96"/>
      <c r="K27" s="36"/>
      <c r="L27" s="96"/>
      <c r="M27" s="37"/>
      <c r="N27" s="16"/>
      <c r="O27" s="96"/>
      <c r="P27" s="18"/>
    </row>
    <row r="28" spans="1:16" s="12" customFormat="1">
      <c r="A28" s="78"/>
      <c r="B28" s="180" t="s">
        <v>112</v>
      </c>
      <c r="C28" s="109" t="s">
        <v>349</v>
      </c>
      <c r="D28" s="111">
        <v>1</v>
      </c>
      <c r="E28" s="109">
        <v>7.72</v>
      </c>
      <c r="F28" s="113" t="s">
        <v>21</v>
      </c>
      <c r="G28" s="126" t="s">
        <v>357</v>
      </c>
      <c r="H28" s="141">
        <f>(6*1338*1.05*1.051)+(1.2*496*1.05*1.051)</f>
        <v>9516.1323599999996</v>
      </c>
      <c r="I28" s="122"/>
      <c r="J28" s="96"/>
      <c r="K28" s="36"/>
      <c r="L28" s="96"/>
      <c r="M28" s="37"/>
      <c r="N28" s="16"/>
      <c r="O28" s="96"/>
      <c r="P28" s="18"/>
    </row>
    <row r="29" spans="1:16" s="12" customFormat="1" ht="60">
      <c r="A29" s="78"/>
      <c r="B29" s="181" t="s">
        <v>20</v>
      </c>
      <c r="C29" s="109" t="s">
        <v>349</v>
      </c>
      <c r="D29" s="111" t="s">
        <v>129</v>
      </c>
      <c r="E29" s="109">
        <v>1</v>
      </c>
      <c r="F29" s="182" t="s">
        <v>21</v>
      </c>
      <c r="G29" s="126" t="s">
        <v>313</v>
      </c>
      <c r="H29" s="109">
        <f>E29*15329</f>
        <v>15329</v>
      </c>
      <c r="I29" s="122"/>
      <c r="J29" s="96"/>
      <c r="K29" s="36"/>
      <c r="L29" s="96"/>
      <c r="M29" s="37"/>
      <c r="N29" s="16"/>
      <c r="O29" s="96"/>
      <c r="P29" s="18"/>
    </row>
    <row r="30" spans="1:16" s="12" customFormat="1">
      <c r="A30" s="78"/>
      <c r="B30" s="183" t="s">
        <v>310</v>
      </c>
      <c r="C30" s="184"/>
      <c r="D30" s="185"/>
      <c r="E30" s="184"/>
      <c r="F30" s="186"/>
      <c r="G30" s="187"/>
      <c r="H30" s="188">
        <f>H27+H28+H29</f>
        <v>30987.791825599998</v>
      </c>
      <c r="I30" s="189">
        <v>25155</v>
      </c>
      <c r="J30" s="96"/>
      <c r="K30" s="36"/>
      <c r="L30" s="96"/>
      <c r="M30" s="37"/>
      <c r="N30" s="16"/>
      <c r="O30" s="96"/>
      <c r="P30" s="18"/>
    </row>
    <row r="31" spans="1:16" s="12" customFormat="1">
      <c r="A31" s="78"/>
      <c r="B31" s="183" t="s">
        <v>186</v>
      </c>
      <c r="C31" s="109"/>
      <c r="D31" s="111"/>
      <c r="E31" s="109"/>
      <c r="F31" s="182"/>
      <c r="G31" s="126"/>
      <c r="H31" s="141"/>
      <c r="I31" s="122"/>
      <c r="J31" s="96"/>
      <c r="K31" s="36"/>
      <c r="L31" s="96"/>
      <c r="M31" s="37"/>
      <c r="N31" s="16"/>
      <c r="O31" s="96"/>
      <c r="P31" s="18"/>
    </row>
    <row r="32" spans="1:16" s="12" customFormat="1" ht="120">
      <c r="A32" s="78"/>
      <c r="B32" s="119" t="s">
        <v>309</v>
      </c>
      <c r="C32" s="109"/>
      <c r="D32" s="111"/>
      <c r="E32" s="109"/>
      <c r="F32" s="182"/>
      <c r="G32" s="126"/>
      <c r="H32" s="141"/>
      <c r="I32" s="122"/>
      <c r="J32" s="96"/>
      <c r="K32" s="36"/>
      <c r="L32" s="96"/>
      <c r="M32" s="37"/>
      <c r="N32" s="16"/>
      <c r="O32" s="96"/>
      <c r="P32" s="18"/>
    </row>
    <row r="33" spans="1:16" s="12" customFormat="1" ht="75">
      <c r="A33" s="78"/>
      <c r="B33" s="119" t="s">
        <v>314</v>
      </c>
      <c r="C33" s="109" t="s">
        <v>349</v>
      </c>
      <c r="D33" s="111" t="s">
        <v>356</v>
      </c>
      <c r="E33" s="109">
        <v>0.47</v>
      </c>
      <c r="F33" s="113" t="s">
        <v>21</v>
      </c>
      <c r="G33" s="126" t="s">
        <v>311</v>
      </c>
      <c r="H33" s="141">
        <f>(448*0.27+2136*0.2)*1.06*1.05*1.051*1.051</f>
        <v>673.91936767008019</v>
      </c>
      <c r="I33" s="122"/>
      <c r="J33" s="96"/>
      <c r="K33" s="36"/>
      <c r="L33" s="96"/>
      <c r="M33" s="37"/>
      <c r="N33" s="16"/>
      <c r="O33" s="96"/>
      <c r="P33" s="18"/>
    </row>
    <row r="34" spans="1:16" s="12" customFormat="1">
      <c r="A34" s="78"/>
      <c r="B34" s="180" t="s">
        <v>112</v>
      </c>
      <c r="C34" s="109" t="s">
        <v>349</v>
      </c>
      <c r="D34" s="111">
        <v>1</v>
      </c>
      <c r="E34" s="109">
        <v>7.72</v>
      </c>
      <c r="F34" s="113" t="s">
        <v>21</v>
      </c>
      <c r="G34" s="126" t="s">
        <v>357</v>
      </c>
      <c r="H34" s="141">
        <f>(0.27*1338*1.05*1.051*1.051)+(0.2*496*1.05*1.051*1.051)</f>
        <v>534.05580528300004</v>
      </c>
      <c r="I34" s="122"/>
      <c r="J34" s="96"/>
      <c r="K34" s="36"/>
      <c r="L34" s="96"/>
      <c r="M34" s="37"/>
      <c r="N34" s="16"/>
      <c r="O34" s="96"/>
      <c r="P34" s="18"/>
    </row>
    <row r="35" spans="1:16" s="12" customFormat="1" ht="60">
      <c r="A35" s="78"/>
      <c r="B35" s="181" t="s">
        <v>20</v>
      </c>
      <c r="C35" s="109" t="s">
        <v>349</v>
      </c>
      <c r="D35" s="111" t="s">
        <v>129</v>
      </c>
      <c r="E35" s="109">
        <v>0.1</v>
      </c>
      <c r="F35" s="182" t="s">
        <v>21</v>
      </c>
      <c r="G35" s="126" t="s">
        <v>313</v>
      </c>
      <c r="H35" s="109">
        <f>E35*15329</f>
        <v>1532.9</v>
      </c>
      <c r="I35" s="122"/>
      <c r="J35" s="96"/>
      <c r="K35" s="36"/>
      <c r="L35" s="96"/>
      <c r="M35" s="37"/>
      <c r="N35" s="16"/>
      <c r="O35" s="96"/>
      <c r="P35" s="18"/>
    </row>
    <row r="36" spans="1:16" s="12" customFormat="1">
      <c r="A36" s="78"/>
      <c r="B36" s="183" t="s">
        <v>310</v>
      </c>
      <c r="C36" s="184"/>
      <c r="D36" s="185"/>
      <c r="E36" s="184"/>
      <c r="F36" s="186"/>
      <c r="G36" s="187"/>
      <c r="H36" s="188">
        <f>H33+H34+H35</f>
        <v>2740.8751729530804</v>
      </c>
      <c r="I36" s="193">
        <f>557+1113.99</f>
        <v>1670.99</v>
      </c>
      <c r="J36" s="96"/>
      <c r="K36" s="36"/>
      <c r="L36" s="96"/>
      <c r="M36" s="37"/>
      <c r="N36" s="16"/>
      <c r="O36" s="96"/>
      <c r="P36" s="18"/>
    </row>
    <row r="37" spans="1:16" s="12" customFormat="1" ht="60">
      <c r="A37" s="78"/>
      <c r="B37" s="106" t="s">
        <v>368</v>
      </c>
      <c r="C37" s="109"/>
      <c r="D37" s="111"/>
      <c r="E37" s="109"/>
      <c r="F37" s="182"/>
      <c r="G37" s="126"/>
      <c r="H37" s="141"/>
      <c r="I37" s="122"/>
      <c r="J37" s="96"/>
      <c r="K37" s="36"/>
      <c r="L37" s="96"/>
      <c r="M37" s="37"/>
      <c r="N37" s="16"/>
      <c r="O37" s="96"/>
      <c r="P37" s="18"/>
    </row>
    <row r="38" spans="1:16" s="12" customFormat="1" ht="60">
      <c r="A38" s="78"/>
      <c r="B38" s="119" t="s">
        <v>314</v>
      </c>
      <c r="C38" s="109">
        <v>0.4</v>
      </c>
      <c r="D38" s="111" t="s">
        <v>369</v>
      </c>
      <c r="E38" s="109">
        <v>0.20200000000000001</v>
      </c>
      <c r="F38" s="113" t="s">
        <v>21</v>
      </c>
      <c r="G38" s="126" t="s">
        <v>370</v>
      </c>
      <c r="H38" s="141">
        <f>(539*E38)*1.06*1.05*1.051*1.051</f>
        <v>133.856890165614</v>
      </c>
      <c r="I38" s="122"/>
      <c r="J38" s="96"/>
      <c r="K38" s="36"/>
      <c r="L38" s="96"/>
      <c r="M38" s="37"/>
      <c r="N38" s="16"/>
      <c r="O38" s="96"/>
      <c r="P38" s="18"/>
    </row>
    <row r="39" spans="1:16" s="12" customFormat="1">
      <c r="A39" s="78"/>
      <c r="B39" s="180" t="s">
        <v>112</v>
      </c>
      <c r="C39" s="109">
        <v>0.4</v>
      </c>
      <c r="D39" s="111">
        <v>1</v>
      </c>
      <c r="E39" s="109">
        <f>0.202-E40</f>
        <v>0.15200000000000002</v>
      </c>
      <c r="F39" s="113" t="s">
        <v>21</v>
      </c>
      <c r="G39" s="126" t="s">
        <v>312</v>
      </c>
      <c r="H39" s="141">
        <f>E39*1338*1.05*1.051*1.051</f>
        <v>235.88179962480001</v>
      </c>
      <c r="I39" s="122"/>
      <c r="J39" s="96"/>
      <c r="K39" s="36"/>
      <c r="L39" s="96"/>
      <c r="M39" s="37"/>
      <c r="N39" s="16"/>
      <c r="O39" s="96"/>
      <c r="P39" s="18"/>
    </row>
    <row r="40" spans="1:16" s="12" customFormat="1" ht="60">
      <c r="A40" s="78"/>
      <c r="B40" s="181" t="s">
        <v>20</v>
      </c>
      <c r="C40" s="109">
        <v>0.4</v>
      </c>
      <c r="D40" s="111" t="s">
        <v>129</v>
      </c>
      <c r="E40" s="109">
        <v>0.05</v>
      </c>
      <c r="F40" s="182" t="s">
        <v>21</v>
      </c>
      <c r="G40" s="126" t="s">
        <v>313</v>
      </c>
      <c r="H40" s="109">
        <f>E40*15329</f>
        <v>766.45</v>
      </c>
      <c r="I40" s="194"/>
      <c r="J40" s="96"/>
      <c r="K40" s="36"/>
      <c r="L40" s="96"/>
      <c r="M40" s="37"/>
      <c r="N40" s="16"/>
      <c r="O40" s="96"/>
      <c r="P40" s="18"/>
    </row>
    <row r="41" spans="1:16" s="173" customFormat="1">
      <c r="A41" s="162"/>
      <c r="B41" s="137" t="s">
        <v>310</v>
      </c>
      <c r="C41" s="195"/>
      <c r="D41" s="196"/>
      <c r="E41" s="195"/>
      <c r="F41" s="197"/>
      <c r="G41" s="198"/>
      <c r="H41" s="199">
        <f>H38+H39+H40</f>
        <v>1136.1886897904142</v>
      </c>
      <c r="I41" s="200">
        <v>562.20000000000005</v>
      </c>
      <c r="J41" s="168"/>
      <c r="K41" s="169"/>
      <c r="L41" s="168"/>
      <c r="M41" s="170"/>
      <c r="N41" s="171"/>
      <c r="O41" s="168"/>
      <c r="P41" s="172"/>
    </row>
    <row r="42" spans="1:16" s="173" customFormat="1" ht="71.25">
      <c r="A42" s="162"/>
      <c r="B42" s="190" t="s">
        <v>380</v>
      </c>
      <c r="C42" s="201"/>
      <c r="D42" s="202"/>
      <c r="E42" s="201"/>
      <c r="F42" s="203"/>
      <c r="G42" s="204"/>
      <c r="H42" s="205"/>
      <c r="I42" s="206"/>
      <c r="J42" s="168"/>
      <c r="K42" s="169"/>
      <c r="L42" s="168"/>
      <c r="M42" s="170"/>
      <c r="N42" s="171"/>
      <c r="O42" s="168"/>
      <c r="P42" s="172"/>
    </row>
    <row r="43" spans="1:16" s="173" customFormat="1" ht="60">
      <c r="A43" s="162"/>
      <c r="B43" s="119" t="s">
        <v>314</v>
      </c>
      <c r="C43" s="109">
        <v>0.4</v>
      </c>
      <c r="D43" s="111" t="s">
        <v>351</v>
      </c>
      <c r="E43" s="109">
        <v>0.3</v>
      </c>
      <c r="F43" s="113" t="s">
        <v>21</v>
      </c>
      <c r="G43" s="126" t="s">
        <v>347</v>
      </c>
      <c r="H43" s="141">
        <f>(722*E43)*1.06*1.05*1.051</f>
        <v>253.37066580000001</v>
      </c>
      <c r="I43" s="206"/>
      <c r="J43" s="168"/>
      <c r="K43" s="169"/>
      <c r="L43" s="168"/>
      <c r="M43" s="170"/>
      <c r="N43" s="171"/>
      <c r="O43" s="168"/>
      <c r="P43" s="172"/>
    </row>
    <row r="44" spans="1:16" s="173" customFormat="1">
      <c r="A44" s="162"/>
      <c r="B44" s="180" t="s">
        <v>112</v>
      </c>
      <c r="C44" s="109">
        <v>0.4</v>
      </c>
      <c r="D44" s="111">
        <v>1</v>
      </c>
      <c r="E44" s="109">
        <f>E43*0.5</f>
        <v>0.15</v>
      </c>
      <c r="F44" s="113" t="s">
        <v>21</v>
      </c>
      <c r="G44" s="126" t="s">
        <v>312</v>
      </c>
      <c r="H44" s="141">
        <f>E44*1338*1.05*1.051</f>
        <v>221.48248499999997</v>
      </c>
      <c r="I44" s="206"/>
      <c r="J44" s="168"/>
      <c r="K44" s="169"/>
      <c r="L44" s="168"/>
      <c r="M44" s="170"/>
      <c r="N44" s="171"/>
      <c r="O44" s="168"/>
      <c r="P44" s="172"/>
    </row>
    <row r="45" spans="1:16" s="173" customFormat="1" ht="60">
      <c r="A45" s="162"/>
      <c r="B45" s="181" t="s">
        <v>20</v>
      </c>
      <c r="C45" s="109">
        <v>0.4</v>
      </c>
      <c r="D45" s="111" t="s">
        <v>129</v>
      </c>
      <c r="E45" s="109">
        <f>E43-E44</f>
        <v>0.15</v>
      </c>
      <c r="F45" s="182" t="s">
        <v>21</v>
      </c>
      <c r="G45" s="126" t="s">
        <v>313</v>
      </c>
      <c r="H45" s="109">
        <f>E45*15329</f>
        <v>2299.35</v>
      </c>
      <c r="I45" s="206"/>
      <c r="J45" s="168"/>
      <c r="K45" s="169"/>
      <c r="L45" s="168"/>
      <c r="M45" s="170"/>
      <c r="N45" s="171"/>
      <c r="O45" s="168"/>
      <c r="P45" s="172"/>
    </row>
    <row r="46" spans="1:16" s="173" customFormat="1">
      <c r="A46" s="162"/>
      <c r="B46" s="183" t="s">
        <v>310</v>
      </c>
      <c r="C46" s="184"/>
      <c r="D46" s="185"/>
      <c r="E46" s="184"/>
      <c r="F46" s="186"/>
      <c r="G46" s="187"/>
      <c r="H46" s="188">
        <f>H43+H44+H45</f>
        <v>2774.2031508</v>
      </c>
      <c r="I46" s="207">
        <v>2548.73</v>
      </c>
      <c r="J46" s="168"/>
      <c r="K46" s="169"/>
      <c r="L46" s="168"/>
      <c r="M46" s="170"/>
      <c r="N46" s="171"/>
      <c r="O46" s="168"/>
      <c r="P46" s="172"/>
    </row>
    <row r="47" spans="1:16" s="173" customFormat="1" ht="57">
      <c r="A47" s="162"/>
      <c r="B47" s="125" t="s">
        <v>378</v>
      </c>
      <c r="C47" s="201"/>
      <c r="D47" s="202"/>
      <c r="E47" s="201"/>
      <c r="F47" s="203"/>
      <c r="G47" s="204"/>
      <c r="H47" s="205"/>
      <c r="I47" s="206"/>
      <c r="J47" s="168"/>
      <c r="K47" s="169"/>
      <c r="L47" s="168"/>
      <c r="M47" s="170"/>
      <c r="N47" s="171"/>
      <c r="O47" s="168"/>
      <c r="P47" s="172"/>
    </row>
    <row r="48" spans="1:16" s="173" customFormat="1">
      <c r="A48" s="162"/>
      <c r="B48" s="191" t="s">
        <v>379</v>
      </c>
      <c r="C48" s="201"/>
      <c r="D48" s="202"/>
      <c r="E48" s="201"/>
      <c r="F48" s="203"/>
      <c r="G48" s="204"/>
      <c r="H48" s="205"/>
      <c r="I48" s="206"/>
      <c r="J48" s="168"/>
      <c r="K48" s="169"/>
      <c r="L48" s="168"/>
      <c r="M48" s="170"/>
      <c r="N48" s="171"/>
      <c r="O48" s="168"/>
      <c r="P48" s="172"/>
    </row>
    <row r="49" spans="1:16" s="173" customFormat="1" ht="60">
      <c r="A49" s="162"/>
      <c r="B49" s="119" t="s">
        <v>314</v>
      </c>
      <c r="C49" s="109">
        <v>0.4</v>
      </c>
      <c r="D49" s="111" t="s">
        <v>351</v>
      </c>
      <c r="E49" s="109">
        <v>0.125</v>
      </c>
      <c r="F49" s="113" t="s">
        <v>21</v>
      </c>
      <c r="G49" s="126" t="s">
        <v>347</v>
      </c>
      <c r="H49" s="141">
        <f>(722*E49)*1.06*1.05*1.051</f>
        <v>105.57111075000002</v>
      </c>
      <c r="I49" s="206"/>
      <c r="J49" s="168"/>
      <c r="K49" s="169"/>
      <c r="L49" s="168"/>
      <c r="M49" s="170"/>
      <c r="N49" s="171"/>
      <c r="O49" s="168"/>
      <c r="P49" s="172"/>
    </row>
    <row r="50" spans="1:16" s="173" customFormat="1">
      <c r="A50" s="162"/>
      <c r="B50" s="180" t="s">
        <v>112</v>
      </c>
      <c r="C50" s="109">
        <v>0.4</v>
      </c>
      <c r="D50" s="111">
        <v>1</v>
      </c>
      <c r="E50" s="109">
        <f>E49*0.5</f>
        <v>6.25E-2</v>
      </c>
      <c r="F50" s="113" t="s">
        <v>21</v>
      </c>
      <c r="G50" s="126" t="s">
        <v>312</v>
      </c>
      <c r="H50" s="141">
        <f>E50*1338*1.05*1.051</f>
        <v>92.284368749999999</v>
      </c>
      <c r="I50" s="206"/>
      <c r="J50" s="168"/>
      <c r="K50" s="169"/>
      <c r="L50" s="168"/>
      <c r="M50" s="170"/>
      <c r="N50" s="171"/>
      <c r="O50" s="168"/>
      <c r="P50" s="172"/>
    </row>
    <row r="51" spans="1:16" s="173" customFormat="1" ht="60">
      <c r="A51" s="162"/>
      <c r="B51" s="181" t="s">
        <v>20</v>
      </c>
      <c r="C51" s="109">
        <v>0.4</v>
      </c>
      <c r="D51" s="111" t="s">
        <v>129</v>
      </c>
      <c r="E51" s="109">
        <f>E49-E50</f>
        <v>6.25E-2</v>
      </c>
      <c r="F51" s="182" t="s">
        <v>21</v>
      </c>
      <c r="G51" s="126" t="s">
        <v>313</v>
      </c>
      <c r="H51" s="109">
        <f>E51*15329</f>
        <v>958.0625</v>
      </c>
      <c r="I51" s="206"/>
      <c r="J51" s="168"/>
      <c r="K51" s="169"/>
      <c r="L51" s="168"/>
      <c r="M51" s="170"/>
      <c r="N51" s="171"/>
      <c r="O51" s="168"/>
      <c r="P51" s="172"/>
    </row>
    <row r="52" spans="1:16" s="173" customFormat="1">
      <c r="A52" s="162"/>
      <c r="B52" s="183" t="s">
        <v>310</v>
      </c>
      <c r="C52" s="184"/>
      <c r="D52" s="185"/>
      <c r="E52" s="184"/>
      <c r="F52" s="186"/>
      <c r="G52" s="187"/>
      <c r="H52" s="188">
        <f>H49+H50+H51</f>
        <v>1155.9179795</v>
      </c>
      <c r="I52" s="192">
        <v>1061.9723224338263</v>
      </c>
      <c r="J52" s="168"/>
      <c r="K52" s="169"/>
      <c r="L52" s="168"/>
      <c r="M52" s="170"/>
      <c r="N52" s="171"/>
      <c r="O52" s="168"/>
      <c r="P52" s="172"/>
    </row>
    <row r="53" spans="1:16" s="173" customFormat="1" ht="105">
      <c r="A53" s="162"/>
      <c r="B53" s="121" t="s">
        <v>348</v>
      </c>
      <c r="C53" s="201"/>
      <c r="D53" s="202"/>
      <c r="E53" s="201"/>
      <c r="F53" s="203"/>
      <c r="G53" s="204"/>
      <c r="H53" s="205"/>
      <c r="I53" s="206"/>
      <c r="J53" s="168"/>
      <c r="K53" s="169"/>
      <c r="L53" s="168"/>
      <c r="M53" s="170"/>
      <c r="N53" s="171"/>
      <c r="O53" s="168"/>
      <c r="P53" s="172"/>
    </row>
    <row r="54" spans="1:16" s="173" customFormat="1" ht="75">
      <c r="A54" s="162"/>
      <c r="B54" s="119" t="s">
        <v>314</v>
      </c>
      <c r="C54" s="109" t="s">
        <v>349</v>
      </c>
      <c r="D54" s="111" t="s">
        <v>356</v>
      </c>
      <c r="E54" s="109">
        <v>8.5</v>
      </c>
      <c r="F54" s="113" t="s">
        <v>21</v>
      </c>
      <c r="G54" s="126" t="s">
        <v>311</v>
      </c>
      <c r="H54" s="141">
        <f>(448*6+2136*2.5)*1.06*1.05*1.051*1.051</f>
        <v>9869.791089563998</v>
      </c>
      <c r="I54" s="206"/>
      <c r="J54" s="168"/>
      <c r="K54" s="169"/>
      <c r="L54" s="168"/>
      <c r="M54" s="170"/>
      <c r="N54" s="171"/>
      <c r="O54" s="168"/>
      <c r="P54" s="172"/>
    </row>
    <row r="55" spans="1:16" s="173" customFormat="1">
      <c r="A55" s="162"/>
      <c r="B55" s="180" t="s">
        <v>112</v>
      </c>
      <c r="C55" s="109" t="s">
        <v>349</v>
      </c>
      <c r="D55" s="111">
        <v>1</v>
      </c>
      <c r="E55" s="109">
        <v>7.72</v>
      </c>
      <c r="F55" s="113" t="s">
        <v>21</v>
      </c>
      <c r="G55" s="126" t="s">
        <v>357</v>
      </c>
      <c r="H55" s="141">
        <f>(6*1338*1.05*1.051*1.051)+(2.5*496*1.05*1.051*1.051)</f>
        <v>10749.314171399999</v>
      </c>
      <c r="I55" s="206"/>
      <c r="J55" s="168"/>
      <c r="K55" s="169"/>
      <c r="L55" s="168"/>
      <c r="M55" s="170"/>
      <c r="N55" s="171"/>
      <c r="O55" s="168"/>
      <c r="P55" s="172"/>
    </row>
    <row r="56" spans="1:16" s="173" customFormat="1" ht="60">
      <c r="A56" s="162"/>
      <c r="B56" s="181" t="s">
        <v>20</v>
      </c>
      <c r="C56" s="109" t="s">
        <v>349</v>
      </c>
      <c r="D56" s="111" t="s">
        <v>129</v>
      </c>
      <c r="E56" s="109">
        <v>1</v>
      </c>
      <c r="F56" s="182" t="s">
        <v>21</v>
      </c>
      <c r="G56" s="126" t="s">
        <v>313</v>
      </c>
      <c r="H56" s="109">
        <f>E56*15329</f>
        <v>15329</v>
      </c>
      <c r="I56" s="206"/>
      <c r="J56" s="168"/>
      <c r="K56" s="169"/>
      <c r="L56" s="168"/>
      <c r="M56" s="170"/>
      <c r="N56" s="171"/>
      <c r="O56" s="168"/>
      <c r="P56" s="172"/>
    </row>
    <row r="57" spans="1:16" s="173" customFormat="1">
      <c r="A57" s="162"/>
      <c r="B57" s="183" t="s">
        <v>310</v>
      </c>
      <c r="C57" s="184"/>
      <c r="D57" s="185"/>
      <c r="E57" s="184"/>
      <c r="F57" s="186"/>
      <c r="G57" s="187"/>
      <c r="H57" s="188">
        <f>H54+H55+H56</f>
        <v>35948.105260963996</v>
      </c>
      <c r="I57" s="207">
        <v>29098</v>
      </c>
      <c r="J57" s="168"/>
      <c r="K57" s="169"/>
      <c r="L57" s="168"/>
      <c r="M57" s="170"/>
      <c r="N57" s="171"/>
      <c r="O57" s="168"/>
      <c r="P57" s="172"/>
    </row>
    <row r="58" spans="1:16" s="173" customFormat="1" ht="60">
      <c r="A58" s="162"/>
      <c r="B58" s="121" t="s">
        <v>358</v>
      </c>
      <c r="C58" s="201"/>
      <c r="D58" s="202"/>
      <c r="E58" s="201"/>
      <c r="F58" s="203"/>
      <c r="G58" s="204"/>
      <c r="H58" s="205"/>
      <c r="I58" s="206"/>
      <c r="J58" s="168"/>
      <c r="K58" s="169"/>
      <c r="L58" s="168"/>
      <c r="M58" s="170"/>
      <c r="N58" s="171"/>
      <c r="O58" s="168"/>
      <c r="P58" s="172"/>
    </row>
    <row r="59" spans="1:16" s="173" customFormat="1" ht="75">
      <c r="A59" s="162"/>
      <c r="B59" s="119" t="s">
        <v>314</v>
      </c>
      <c r="C59" s="109" t="s">
        <v>349</v>
      </c>
      <c r="D59" s="111" t="s">
        <v>356</v>
      </c>
      <c r="E59" s="109">
        <v>7.72</v>
      </c>
      <c r="F59" s="113" t="s">
        <v>21</v>
      </c>
      <c r="G59" s="126" t="s">
        <v>311</v>
      </c>
      <c r="H59" s="141">
        <f>(448*6+2136*1.72)*1.06*1.05*1.051*1.051</f>
        <v>7821.4774948329596</v>
      </c>
      <c r="I59" s="206"/>
      <c r="J59" s="168"/>
      <c r="K59" s="169"/>
      <c r="L59" s="168"/>
      <c r="M59" s="170"/>
      <c r="N59" s="171"/>
      <c r="O59" s="168"/>
      <c r="P59" s="172"/>
    </row>
    <row r="60" spans="1:16" s="173" customFormat="1">
      <c r="A60" s="162"/>
      <c r="B60" s="180" t="s">
        <v>112</v>
      </c>
      <c r="C60" s="109" t="s">
        <v>349</v>
      </c>
      <c r="D60" s="111">
        <v>1</v>
      </c>
      <c r="E60" s="109">
        <v>7.72</v>
      </c>
      <c r="F60" s="113" t="s">
        <v>21</v>
      </c>
      <c r="G60" s="126" t="s">
        <v>357</v>
      </c>
      <c r="H60" s="141">
        <f>(6*1338*1.05*1.051*1.051)+(1.72*496*1.05*1.051*1.051)</f>
        <v>10300.598734776</v>
      </c>
      <c r="I60" s="206"/>
      <c r="J60" s="168"/>
      <c r="K60" s="169"/>
      <c r="L60" s="168"/>
      <c r="M60" s="170"/>
      <c r="N60" s="171"/>
      <c r="O60" s="168"/>
      <c r="P60" s="172"/>
    </row>
    <row r="61" spans="1:16" s="173" customFormat="1" ht="60">
      <c r="A61" s="162"/>
      <c r="B61" s="181" t="s">
        <v>20</v>
      </c>
      <c r="C61" s="109" t="s">
        <v>349</v>
      </c>
      <c r="D61" s="111" t="s">
        <v>129</v>
      </c>
      <c r="E61" s="109">
        <v>1</v>
      </c>
      <c r="F61" s="182" t="s">
        <v>21</v>
      </c>
      <c r="G61" s="126" t="s">
        <v>313</v>
      </c>
      <c r="H61" s="109">
        <f>E61*15329</f>
        <v>15329</v>
      </c>
      <c r="I61" s="206"/>
      <c r="J61" s="168"/>
      <c r="K61" s="169"/>
      <c r="L61" s="168"/>
      <c r="M61" s="170"/>
      <c r="N61" s="171"/>
      <c r="O61" s="168"/>
      <c r="P61" s="172"/>
    </row>
    <row r="62" spans="1:16" s="173" customFormat="1">
      <c r="A62" s="162"/>
      <c r="B62" s="183" t="s">
        <v>310</v>
      </c>
      <c r="C62" s="184"/>
      <c r="D62" s="185"/>
      <c r="E62" s="184"/>
      <c r="F62" s="186"/>
      <c r="G62" s="187"/>
      <c r="H62" s="188">
        <f>H59+H60+H61</f>
        <v>33451.07622960896</v>
      </c>
      <c r="I62" s="207">
        <v>26437.5</v>
      </c>
      <c r="J62" s="168"/>
      <c r="K62" s="169"/>
      <c r="L62" s="168"/>
      <c r="M62" s="170"/>
      <c r="N62" s="171"/>
      <c r="O62" s="168"/>
      <c r="P62" s="172"/>
    </row>
    <row r="63" spans="1:16" s="173" customFormat="1">
      <c r="A63" s="162"/>
      <c r="B63" s="183" t="s">
        <v>213</v>
      </c>
      <c r="C63" s="201"/>
      <c r="D63" s="202"/>
      <c r="E63" s="201"/>
      <c r="F63" s="203"/>
      <c r="G63" s="204"/>
      <c r="H63" s="205"/>
      <c r="I63" s="206"/>
      <c r="J63" s="168"/>
      <c r="K63" s="169"/>
      <c r="L63" s="168"/>
      <c r="M63" s="170"/>
      <c r="N63" s="171"/>
      <c r="O63" s="168"/>
      <c r="P63" s="172"/>
    </row>
    <row r="64" spans="1:16" s="173" customFormat="1" ht="120">
      <c r="A64" s="162"/>
      <c r="B64" s="119" t="s">
        <v>309</v>
      </c>
      <c r="C64" s="201"/>
      <c r="D64" s="202"/>
      <c r="E64" s="201"/>
      <c r="F64" s="203"/>
      <c r="G64" s="204"/>
      <c r="H64" s="205"/>
      <c r="I64" s="206"/>
      <c r="J64" s="168"/>
      <c r="K64" s="169"/>
      <c r="L64" s="168"/>
      <c r="M64" s="170"/>
      <c r="N64" s="171"/>
      <c r="O64" s="168"/>
      <c r="P64" s="172"/>
    </row>
    <row r="65" spans="1:16" s="173" customFormat="1" ht="75">
      <c r="A65" s="162"/>
      <c r="B65" s="119" t="s">
        <v>314</v>
      </c>
      <c r="C65" s="109" t="s">
        <v>349</v>
      </c>
      <c r="D65" s="111" t="s">
        <v>356</v>
      </c>
      <c r="E65" s="109">
        <v>0.54400000000000004</v>
      </c>
      <c r="F65" s="113" t="s">
        <v>21</v>
      </c>
      <c r="G65" s="126" t="s">
        <v>311</v>
      </c>
      <c r="H65" s="141">
        <f>(448*0.4+2136*0.144)*1.06*1.05*1.051*1.051*1.054</f>
        <v>630.77940091833671</v>
      </c>
      <c r="I65" s="206"/>
      <c r="J65" s="168"/>
      <c r="K65" s="169"/>
      <c r="L65" s="168"/>
      <c r="M65" s="170"/>
      <c r="N65" s="171"/>
      <c r="O65" s="168"/>
      <c r="P65" s="172"/>
    </row>
    <row r="66" spans="1:16" s="173" customFormat="1">
      <c r="A66" s="162"/>
      <c r="B66" s="180" t="s">
        <v>112</v>
      </c>
      <c r="C66" s="109" t="s">
        <v>349</v>
      </c>
      <c r="D66" s="111">
        <v>1</v>
      </c>
      <c r="E66" s="109">
        <f>E65-E67</f>
        <v>0.44400000000000006</v>
      </c>
      <c r="F66" s="113" t="s">
        <v>21</v>
      </c>
      <c r="G66" s="126" t="s">
        <v>357</v>
      </c>
      <c r="H66" s="141">
        <f>(0.4*1338*1.05*1.051*1.051*1.054)+(0.144*496*1.05*1.051*1.051*1.054)</f>
        <v>741.57474382246085</v>
      </c>
      <c r="I66" s="206"/>
      <c r="J66" s="168"/>
      <c r="K66" s="169"/>
      <c r="L66" s="168"/>
      <c r="M66" s="170"/>
      <c r="N66" s="171"/>
      <c r="O66" s="168"/>
      <c r="P66" s="172"/>
    </row>
    <row r="67" spans="1:16" s="173" customFormat="1" ht="60">
      <c r="A67" s="162"/>
      <c r="B67" s="181" t="s">
        <v>20</v>
      </c>
      <c r="C67" s="109" t="s">
        <v>349</v>
      </c>
      <c r="D67" s="111" t="s">
        <v>129</v>
      </c>
      <c r="E67" s="109">
        <v>0.1</v>
      </c>
      <c r="F67" s="182" t="s">
        <v>21</v>
      </c>
      <c r="G67" s="126" t="s">
        <v>313</v>
      </c>
      <c r="H67" s="109">
        <f>E67*15329</f>
        <v>1532.9</v>
      </c>
      <c r="I67" s="206"/>
      <c r="J67" s="168"/>
      <c r="K67" s="169"/>
      <c r="L67" s="168"/>
      <c r="M67" s="170"/>
      <c r="N67" s="171"/>
      <c r="O67" s="168"/>
      <c r="P67" s="172"/>
    </row>
    <row r="68" spans="1:16" s="173" customFormat="1">
      <c r="A68" s="162"/>
      <c r="B68" s="183" t="s">
        <v>310</v>
      </c>
      <c r="C68" s="184"/>
      <c r="D68" s="185"/>
      <c r="E68" s="184"/>
      <c r="F68" s="186"/>
      <c r="G68" s="187"/>
      <c r="H68" s="188">
        <f>H65+H66+H67</f>
        <v>2905.2541447407975</v>
      </c>
      <c r="I68" s="188">
        <f>587.07+1174.15</f>
        <v>1761.2200000000003</v>
      </c>
      <c r="J68" s="168"/>
      <c r="K68" s="169"/>
      <c r="L68" s="168"/>
      <c r="M68" s="170"/>
      <c r="N68" s="171"/>
      <c r="O68" s="168"/>
      <c r="P68" s="172"/>
    </row>
    <row r="69" spans="1:16" s="173" customFormat="1" ht="30">
      <c r="A69" s="162"/>
      <c r="B69" s="208" t="s">
        <v>383</v>
      </c>
      <c r="C69" s="201"/>
      <c r="D69" s="202"/>
      <c r="E69" s="201"/>
      <c r="F69" s="203"/>
      <c r="G69" s="204"/>
      <c r="H69" s="205"/>
      <c r="I69" s="206"/>
      <c r="J69" s="168"/>
      <c r="K69" s="169"/>
      <c r="L69" s="168"/>
      <c r="M69" s="170"/>
      <c r="N69" s="171"/>
      <c r="O69" s="168"/>
      <c r="P69" s="172"/>
    </row>
    <row r="70" spans="1:16" s="173" customFormat="1" ht="60">
      <c r="A70" s="162"/>
      <c r="B70" s="181" t="s">
        <v>20</v>
      </c>
      <c r="C70" s="109">
        <v>0.4</v>
      </c>
      <c r="D70" s="111" t="s">
        <v>129</v>
      </c>
      <c r="E70" s="141">
        <v>0.504</v>
      </c>
      <c r="F70" s="182" t="s">
        <v>21</v>
      </c>
      <c r="G70" s="126" t="s">
        <v>313</v>
      </c>
      <c r="H70" s="109">
        <f>E70*15329</f>
        <v>7725.8159999999998</v>
      </c>
      <c r="I70" s="206"/>
      <c r="J70" s="168"/>
      <c r="K70" s="169"/>
      <c r="L70" s="168"/>
      <c r="M70" s="170"/>
      <c r="N70" s="171"/>
      <c r="O70" s="168"/>
      <c r="P70" s="172"/>
    </row>
    <row r="71" spans="1:16" s="173" customFormat="1">
      <c r="A71" s="162"/>
      <c r="B71" s="125" t="s">
        <v>310</v>
      </c>
      <c r="C71" s="195"/>
      <c r="D71" s="196"/>
      <c r="E71" s="195"/>
      <c r="F71" s="197"/>
      <c r="G71" s="198"/>
      <c r="H71" s="199">
        <f>H70</f>
        <v>7725.8159999999998</v>
      </c>
      <c r="I71" s="209">
        <v>7676.5</v>
      </c>
      <c r="J71" s="168"/>
      <c r="K71" s="169"/>
      <c r="L71" s="168"/>
      <c r="M71" s="170"/>
      <c r="N71" s="171"/>
      <c r="O71" s="168"/>
      <c r="P71" s="172"/>
    </row>
    <row r="72" spans="1:16" s="173" customFormat="1" ht="75">
      <c r="A72" s="162"/>
      <c r="B72" s="191" t="s">
        <v>388</v>
      </c>
      <c r="C72" s="201"/>
      <c r="D72" s="202"/>
      <c r="E72" s="201"/>
      <c r="F72" s="203"/>
      <c r="G72" s="204"/>
      <c r="H72" s="205"/>
      <c r="I72" s="206"/>
      <c r="J72" s="168"/>
      <c r="K72" s="169"/>
      <c r="L72" s="168"/>
      <c r="M72" s="170"/>
      <c r="N72" s="171"/>
      <c r="O72" s="168"/>
      <c r="P72" s="172"/>
    </row>
    <row r="73" spans="1:16" s="173" customFormat="1" ht="60">
      <c r="A73" s="162"/>
      <c r="B73" s="119" t="s">
        <v>314</v>
      </c>
      <c r="C73" s="109">
        <v>0.4</v>
      </c>
      <c r="D73" s="111" t="s">
        <v>389</v>
      </c>
      <c r="E73" s="109">
        <v>0.06</v>
      </c>
      <c r="F73" s="113" t="s">
        <v>21</v>
      </c>
      <c r="G73" s="126" t="s">
        <v>390</v>
      </c>
      <c r="H73" s="141">
        <f>(448*E73)*1.06*1.05*1.051*1.051*1.054</f>
        <v>34.831363185077755</v>
      </c>
      <c r="I73" s="206"/>
      <c r="J73" s="168"/>
      <c r="K73" s="169"/>
      <c r="L73" s="168"/>
      <c r="M73" s="170"/>
      <c r="N73" s="171"/>
      <c r="O73" s="168"/>
      <c r="P73" s="172"/>
    </row>
    <row r="74" spans="1:16" s="173" customFormat="1">
      <c r="A74" s="162"/>
      <c r="B74" s="180" t="s">
        <v>112</v>
      </c>
      <c r="C74" s="109">
        <v>0.4</v>
      </c>
      <c r="D74" s="111">
        <v>1</v>
      </c>
      <c r="E74" s="109">
        <f>E73*0.5</f>
        <v>0.03</v>
      </c>
      <c r="F74" s="113" t="s">
        <v>21</v>
      </c>
      <c r="G74" s="126" t="s">
        <v>312</v>
      </c>
      <c r="H74" s="141">
        <f>E74*1338*1.05*1.051</f>
        <v>44.296497000000002</v>
      </c>
      <c r="I74" s="206"/>
      <c r="J74" s="168"/>
      <c r="K74" s="169"/>
      <c r="L74" s="168"/>
      <c r="M74" s="170"/>
      <c r="N74" s="171"/>
      <c r="O74" s="168"/>
      <c r="P74" s="172"/>
    </row>
    <row r="75" spans="1:16" s="173" customFormat="1" ht="60">
      <c r="A75" s="162"/>
      <c r="B75" s="181" t="s">
        <v>20</v>
      </c>
      <c r="C75" s="109">
        <v>0.4</v>
      </c>
      <c r="D75" s="111" t="s">
        <v>129</v>
      </c>
      <c r="E75" s="109">
        <f>E73-E74</f>
        <v>0.03</v>
      </c>
      <c r="F75" s="182" t="s">
        <v>21</v>
      </c>
      <c r="G75" s="126" t="s">
        <v>313</v>
      </c>
      <c r="H75" s="109">
        <f>E75*15329</f>
        <v>459.87</v>
      </c>
      <c r="I75" s="206"/>
      <c r="J75" s="168"/>
      <c r="K75" s="169"/>
      <c r="L75" s="168"/>
      <c r="M75" s="170"/>
      <c r="N75" s="171"/>
      <c r="O75" s="168"/>
      <c r="P75" s="172"/>
    </row>
    <row r="76" spans="1:16" s="173" customFormat="1">
      <c r="A76" s="162"/>
      <c r="B76" s="183" t="s">
        <v>310</v>
      </c>
      <c r="C76" s="184"/>
      <c r="D76" s="185"/>
      <c r="E76" s="184"/>
      <c r="F76" s="186"/>
      <c r="G76" s="187"/>
      <c r="H76" s="188">
        <f>H73+H74+H75</f>
        <v>538.9978601850778</v>
      </c>
      <c r="I76" s="210">
        <v>431.96453599087414</v>
      </c>
      <c r="J76" s="168"/>
      <c r="K76" s="169"/>
      <c r="L76" s="168"/>
      <c r="M76" s="170"/>
      <c r="N76" s="171"/>
      <c r="O76" s="168"/>
      <c r="P76" s="172"/>
    </row>
    <row r="77" spans="1:16" s="173" customFormat="1" ht="60">
      <c r="A77" s="162"/>
      <c r="B77" s="211" t="s">
        <v>391</v>
      </c>
      <c r="C77" s="184"/>
      <c r="D77" s="185"/>
      <c r="E77" s="184"/>
      <c r="F77" s="186"/>
      <c r="G77" s="187"/>
      <c r="H77" s="188"/>
      <c r="I77" s="210"/>
      <c r="J77" s="168"/>
      <c r="K77" s="169"/>
      <c r="L77" s="168"/>
      <c r="M77" s="170"/>
      <c r="N77" s="171"/>
      <c r="O77" s="168"/>
      <c r="P77" s="172"/>
    </row>
    <row r="78" spans="1:16" s="173" customFormat="1" ht="60">
      <c r="A78" s="162"/>
      <c r="B78" s="119" t="s">
        <v>314</v>
      </c>
      <c r="C78" s="109">
        <v>0.4</v>
      </c>
      <c r="D78" s="111" t="s">
        <v>351</v>
      </c>
      <c r="E78" s="109">
        <v>0.11</v>
      </c>
      <c r="F78" s="113" t="s">
        <v>21</v>
      </c>
      <c r="G78" s="126" t="s">
        <v>347</v>
      </c>
      <c r="H78" s="141">
        <f>(722*E78)*1.06*1.05*1.051*1.051*1.054</f>
        <v>102.91320179162484</v>
      </c>
      <c r="I78" s="210"/>
      <c r="J78" s="168"/>
      <c r="K78" s="169"/>
      <c r="L78" s="168"/>
      <c r="M78" s="170"/>
      <c r="N78" s="171"/>
      <c r="O78" s="168"/>
      <c r="P78" s="172"/>
    </row>
    <row r="79" spans="1:16" s="173" customFormat="1">
      <c r="A79" s="162"/>
      <c r="B79" s="180" t="s">
        <v>112</v>
      </c>
      <c r="C79" s="109">
        <v>0.4</v>
      </c>
      <c r="D79" s="111">
        <v>1</v>
      </c>
      <c r="E79" s="109">
        <f>E78*0.5</f>
        <v>5.5E-2</v>
      </c>
      <c r="F79" s="113" t="s">
        <v>21</v>
      </c>
      <c r="G79" s="126" t="s">
        <v>312</v>
      </c>
      <c r="H79" s="141">
        <f>E79*1338*1.05*1.051*1.051*1.054</f>
        <v>89.960973185853007</v>
      </c>
      <c r="I79" s="210"/>
      <c r="J79" s="168"/>
      <c r="K79" s="169"/>
      <c r="L79" s="168"/>
      <c r="M79" s="170"/>
      <c r="N79" s="171"/>
      <c r="O79" s="168"/>
      <c r="P79" s="172"/>
    </row>
    <row r="80" spans="1:16" s="173" customFormat="1" ht="60">
      <c r="A80" s="162"/>
      <c r="B80" s="181" t="s">
        <v>20</v>
      </c>
      <c r="C80" s="109">
        <v>0.4</v>
      </c>
      <c r="D80" s="111" t="s">
        <v>129</v>
      </c>
      <c r="E80" s="109">
        <f>E78-E79</f>
        <v>5.5E-2</v>
      </c>
      <c r="F80" s="182" t="s">
        <v>21</v>
      </c>
      <c r="G80" s="126" t="s">
        <v>313</v>
      </c>
      <c r="H80" s="109">
        <f>E80*15329</f>
        <v>843.09500000000003</v>
      </c>
      <c r="I80" s="210"/>
      <c r="J80" s="168"/>
      <c r="K80" s="169"/>
      <c r="L80" s="168"/>
      <c r="M80" s="170"/>
      <c r="N80" s="171"/>
      <c r="O80" s="168"/>
      <c r="P80" s="172"/>
    </row>
    <row r="81" spans="1:16" s="173" customFormat="1">
      <c r="A81" s="162"/>
      <c r="B81" s="183" t="s">
        <v>310</v>
      </c>
      <c r="C81" s="184"/>
      <c r="D81" s="185"/>
      <c r="E81" s="184"/>
      <c r="F81" s="186"/>
      <c r="G81" s="187"/>
      <c r="H81" s="188">
        <f>H78+H79+H80</f>
        <v>1035.9691749774779</v>
      </c>
      <c r="I81" s="210">
        <v>934.5356437417671</v>
      </c>
      <c r="J81" s="168"/>
      <c r="K81" s="169"/>
      <c r="L81" s="168"/>
      <c r="M81" s="170"/>
      <c r="N81" s="171"/>
      <c r="O81" s="168"/>
      <c r="P81" s="172"/>
    </row>
    <row r="82" spans="1:16" s="173" customFormat="1">
      <c r="A82" s="162"/>
      <c r="B82" s="183"/>
      <c r="C82" s="184"/>
      <c r="D82" s="185"/>
      <c r="E82" s="184"/>
      <c r="F82" s="186"/>
      <c r="G82" s="187"/>
      <c r="H82" s="188"/>
      <c r="I82" s="210"/>
      <c r="J82" s="168"/>
      <c r="K82" s="169"/>
      <c r="L82" s="168"/>
      <c r="M82" s="170"/>
      <c r="N82" s="171"/>
      <c r="O82" s="168"/>
      <c r="P82" s="172"/>
    </row>
    <row r="83" spans="1:16" s="173" customFormat="1" ht="75">
      <c r="A83" s="162"/>
      <c r="B83" s="211" t="s">
        <v>392</v>
      </c>
      <c r="C83" s="184"/>
      <c r="D83" s="185"/>
      <c r="E83" s="184"/>
      <c r="F83" s="186"/>
      <c r="G83" s="187"/>
      <c r="H83" s="188"/>
      <c r="I83" s="210"/>
      <c r="J83" s="168"/>
      <c r="K83" s="169"/>
      <c r="L83" s="168"/>
      <c r="M83" s="170"/>
      <c r="N83" s="171"/>
      <c r="O83" s="168"/>
      <c r="P83" s="172"/>
    </row>
    <row r="84" spans="1:16" s="173" customFormat="1" ht="60">
      <c r="A84" s="162"/>
      <c r="B84" s="119" t="s">
        <v>314</v>
      </c>
      <c r="C84" s="109">
        <v>0.4</v>
      </c>
      <c r="D84" s="111" t="s">
        <v>389</v>
      </c>
      <c r="E84" s="109">
        <v>0.11</v>
      </c>
      <c r="F84" s="113" t="s">
        <v>21</v>
      </c>
      <c r="G84" s="126" t="s">
        <v>390</v>
      </c>
      <c r="H84" s="141">
        <f>(448*E84)*1.06*1.05*1.051*1.051*1.054</f>
        <v>63.857499172642562</v>
      </c>
      <c r="I84" s="210"/>
      <c r="J84" s="168"/>
      <c r="K84" s="169"/>
      <c r="L84" s="168"/>
      <c r="M84" s="170"/>
      <c r="N84" s="171"/>
      <c r="O84" s="168"/>
      <c r="P84" s="172"/>
    </row>
    <row r="85" spans="1:16" s="173" customFormat="1">
      <c r="A85" s="162"/>
      <c r="B85" s="180" t="s">
        <v>112</v>
      </c>
      <c r="C85" s="109">
        <v>0.4</v>
      </c>
      <c r="D85" s="111">
        <v>1</v>
      </c>
      <c r="E85" s="109">
        <f>E84*0.5</f>
        <v>5.5E-2</v>
      </c>
      <c r="F85" s="113" t="s">
        <v>21</v>
      </c>
      <c r="G85" s="126" t="s">
        <v>312</v>
      </c>
      <c r="H85" s="141">
        <f>E85*1338*1.05*1.051</f>
        <v>81.210244500000002</v>
      </c>
      <c r="I85" s="210"/>
      <c r="J85" s="168"/>
      <c r="K85" s="169"/>
      <c r="L85" s="168"/>
      <c r="M85" s="170"/>
      <c r="N85" s="171"/>
      <c r="O85" s="168"/>
      <c r="P85" s="172"/>
    </row>
    <row r="86" spans="1:16" s="173" customFormat="1" ht="60">
      <c r="A86" s="162"/>
      <c r="B86" s="181" t="s">
        <v>20</v>
      </c>
      <c r="C86" s="109">
        <v>0.4</v>
      </c>
      <c r="D86" s="111" t="s">
        <v>129</v>
      </c>
      <c r="E86" s="109">
        <f>E84-E85</f>
        <v>5.5E-2</v>
      </c>
      <c r="F86" s="182" t="s">
        <v>21</v>
      </c>
      <c r="G86" s="126" t="s">
        <v>313</v>
      </c>
      <c r="H86" s="109">
        <f>E86*15329</f>
        <v>843.09500000000003</v>
      </c>
      <c r="I86" s="210"/>
      <c r="J86" s="168"/>
      <c r="K86" s="169"/>
      <c r="L86" s="168"/>
      <c r="M86" s="170"/>
      <c r="N86" s="171"/>
      <c r="O86" s="168"/>
      <c r="P86" s="172"/>
    </row>
    <row r="87" spans="1:16" s="173" customFormat="1">
      <c r="A87" s="162"/>
      <c r="B87" s="183" t="s">
        <v>310</v>
      </c>
      <c r="C87" s="184"/>
      <c r="D87" s="185"/>
      <c r="E87" s="184"/>
      <c r="F87" s="186"/>
      <c r="G87" s="187"/>
      <c r="H87" s="188">
        <f>H84+H85+H86</f>
        <v>988.16274367264259</v>
      </c>
      <c r="I87" s="210">
        <v>791.93498264993605</v>
      </c>
      <c r="J87" s="168"/>
      <c r="K87" s="169"/>
      <c r="L87" s="168"/>
      <c r="M87" s="170"/>
      <c r="N87" s="171"/>
      <c r="O87" s="168"/>
      <c r="P87" s="172"/>
    </row>
    <row r="88" spans="1:16" s="173" customFormat="1" ht="75">
      <c r="A88" s="162"/>
      <c r="B88" s="121" t="s">
        <v>393</v>
      </c>
      <c r="C88" s="184"/>
      <c r="D88" s="185"/>
      <c r="E88" s="184"/>
      <c r="F88" s="186"/>
      <c r="G88" s="187"/>
      <c r="H88" s="188"/>
      <c r="I88" s="210"/>
      <c r="J88" s="168"/>
      <c r="K88" s="169"/>
      <c r="L88" s="168"/>
      <c r="M88" s="170"/>
      <c r="N88" s="171"/>
      <c r="O88" s="168"/>
      <c r="P88" s="172"/>
    </row>
    <row r="89" spans="1:16" s="173" customFormat="1" ht="60">
      <c r="A89" s="162"/>
      <c r="B89" s="119" t="s">
        <v>314</v>
      </c>
      <c r="C89" s="109">
        <v>0.4</v>
      </c>
      <c r="D89" s="111" t="s">
        <v>351</v>
      </c>
      <c r="E89" s="109">
        <v>3.5999999999999997E-2</v>
      </c>
      <c r="F89" s="113" t="s">
        <v>21</v>
      </c>
      <c r="G89" s="126" t="s">
        <v>347</v>
      </c>
      <c r="H89" s="141">
        <f>(722*E89)*1.06*1.05*1.051*1.051*1.054</f>
        <v>33.68068422271358</v>
      </c>
      <c r="I89" s="210"/>
      <c r="J89" s="168"/>
      <c r="K89" s="169"/>
      <c r="L89" s="168"/>
      <c r="M89" s="170"/>
      <c r="N89" s="171"/>
      <c r="O89" s="168"/>
      <c r="P89" s="172"/>
    </row>
    <row r="90" spans="1:16" s="173" customFormat="1">
      <c r="A90" s="162"/>
      <c r="B90" s="180" t="s">
        <v>112</v>
      </c>
      <c r="C90" s="109">
        <v>0.4</v>
      </c>
      <c r="D90" s="111">
        <v>1</v>
      </c>
      <c r="E90" s="109">
        <f>E89*0.5</f>
        <v>1.7999999999999999E-2</v>
      </c>
      <c r="F90" s="113" t="s">
        <v>21</v>
      </c>
      <c r="G90" s="126" t="s">
        <v>312</v>
      </c>
      <c r="H90" s="141">
        <f>E90*1338*1.05*1.051*1.051*1.054</f>
        <v>29.441773042642797</v>
      </c>
      <c r="I90" s="210"/>
      <c r="J90" s="168"/>
      <c r="K90" s="169"/>
      <c r="L90" s="168"/>
      <c r="M90" s="170"/>
      <c r="N90" s="171"/>
      <c r="O90" s="168"/>
      <c r="P90" s="172"/>
    </row>
    <row r="91" spans="1:16" s="173" customFormat="1" ht="60">
      <c r="A91" s="162"/>
      <c r="B91" s="181" t="s">
        <v>20</v>
      </c>
      <c r="C91" s="109">
        <v>0.4</v>
      </c>
      <c r="D91" s="111" t="s">
        <v>129</v>
      </c>
      <c r="E91" s="109">
        <f>E89-E90</f>
        <v>1.7999999999999999E-2</v>
      </c>
      <c r="F91" s="182" t="s">
        <v>21</v>
      </c>
      <c r="G91" s="126" t="s">
        <v>313</v>
      </c>
      <c r="H91" s="109">
        <f>E91*15329</f>
        <v>275.92199999999997</v>
      </c>
      <c r="I91" s="210"/>
      <c r="J91" s="168"/>
      <c r="K91" s="169"/>
      <c r="L91" s="168"/>
      <c r="M91" s="170"/>
      <c r="N91" s="171"/>
      <c r="O91" s="168"/>
      <c r="P91" s="172"/>
    </row>
    <row r="92" spans="1:16" s="173" customFormat="1">
      <c r="A92" s="162"/>
      <c r="B92" s="183" t="s">
        <v>310</v>
      </c>
      <c r="C92" s="184"/>
      <c r="D92" s="185"/>
      <c r="E92" s="184"/>
      <c r="F92" s="186"/>
      <c r="G92" s="187"/>
      <c r="H92" s="188">
        <f>H89+H90+H91</f>
        <v>339.04445726535636</v>
      </c>
      <c r="I92" s="210">
        <v>305.84802886094195</v>
      </c>
      <c r="J92" s="168"/>
      <c r="K92" s="169"/>
      <c r="L92" s="168"/>
      <c r="M92" s="170"/>
      <c r="N92" s="171"/>
      <c r="O92" s="168"/>
      <c r="P92" s="172"/>
    </row>
    <row r="93" spans="1:16" s="173" customFormat="1" ht="75">
      <c r="A93" s="162"/>
      <c r="B93" s="121" t="s">
        <v>394</v>
      </c>
      <c r="C93" s="201"/>
      <c r="D93" s="202"/>
      <c r="E93" s="201"/>
      <c r="F93" s="203"/>
      <c r="G93" s="204"/>
      <c r="H93" s="205"/>
      <c r="I93" s="206"/>
      <c r="J93" s="168"/>
      <c r="K93" s="169"/>
      <c r="L93" s="168"/>
      <c r="M93" s="170"/>
      <c r="N93" s="171"/>
      <c r="O93" s="168"/>
      <c r="P93" s="172"/>
    </row>
    <row r="94" spans="1:16" s="173" customFormat="1" ht="60">
      <c r="A94" s="162"/>
      <c r="B94" s="119" t="s">
        <v>314</v>
      </c>
      <c r="C94" s="109">
        <v>0.4</v>
      </c>
      <c r="D94" s="111" t="s">
        <v>351</v>
      </c>
      <c r="E94" s="109">
        <v>8.6999999999999994E-2</v>
      </c>
      <c r="F94" s="113" t="s">
        <v>21</v>
      </c>
      <c r="G94" s="126" t="s">
        <v>347</v>
      </c>
      <c r="H94" s="141">
        <f>(722*E94)*1.06*1.05*1.051*1.051*1.054</f>
        <v>81.394986871557819</v>
      </c>
      <c r="I94" s="206"/>
      <c r="J94" s="168"/>
      <c r="K94" s="169"/>
      <c r="L94" s="168"/>
      <c r="M94" s="170"/>
      <c r="N94" s="171"/>
      <c r="O94" s="168"/>
      <c r="P94" s="172"/>
    </row>
    <row r="95" spans="1:16" s="173" customFormat="1">
      <c r="A95" s="162"/>
      <c r="B95" s="180" t="s">
        <v>112</v>
      </c>
      <c r="C95" s="109">
        <v>0.4</v>
      </c>
      <c r="D95" s="111">
        <v>1</v>
      </c>
      <c r="E95" s="109">
        <f>E94*0.5</f>
        <v>4.3499999999999997E-2</v>
      </c>
      <c r="F95" s="113" t="s">
        <v>21</v>
      </c>
      <c r="G95" s="126" t="s">
        <v>312</v>
      </c>
      <c r="H95" s="141">
        <f>E95*1338*1.05*1.051*1.051*1.054</f>
        <v>71.150951519720095</v>
      </c>
      <c r="I95" s="206"/>
      <c r="J95" s="168"/>
      <c r="K95" s="169"/>
      <c r="L95" s="168"/>
      <c r="M95" s="170"/>
      <c r="N95" s="171"/>
      <c r="O95" s="168"/>
      <c r="P95" s="172"/>
    </row>
    <row r="96" spans="1:16" s="173" customFormat="1" ht="60">
      <c r="A96" s="162"/>
      <c r="B96" s="181" t="s">
        <v>20</v>
      </c>
      <c r="C96" s="109">
        <v>0.4</v>
      </c>
      <c r="D96" s="111" t="s">
        <v>129</v>
      </c>
      <c r="E96" s="109">
        <f>E94-E95</f>
        <v>4.3499999999999997E-2</v>
      </c>
      <c r="F96" s="182" t="s">
        <v>21</v>
      </c>
      <c r="G96" s="126" t="s">
        <v>313</v>
      </c>
      <c r="H96" s="109">
        <f>E96*15329</f>
        <v>666.81149999999991</v>
      </c>
      <c r="I96" s="206"/>
      <c r="J96" s="168"/>
      <c r="K96" s="169"/>
      <c r="L96" s="168"/>
      <c r="M96" s="170"/>
      <c r="N96" s="171"/>
      <c r="O96" s="168"/>
      <c r="P96" s="172"/>
    </row>
    <row r="97" spans="1:16" s="173" customFormat="1">
      <c r="A97" s="162"/>
      <c r="B97" s="183" t="s">
        <v>310</v>
      </c>
      <c r="C97" s="184"/>
      <c r="D97" s="185"/>
      <c r="E97" s="184"/>
      <c r="F97" s="186"/>
      <c r="G97" s="187"/>
      <c r="H97" s="188">
        <f>H94+H95+H96</f>
        <v>819.35743839127781</v>
      </c>
      <c r="I97" s="210">
        <v>739.13273641394301</v>
      </c>
      <c r="J97" s="168"/>
      <c r="K97" s="169"/>
      <c r="L97" s="168"/>
      <c r="M97" s="170"/>
      <c r="N97" s="171"/>
      <c r="O97" s="168"/>
      <c r="P97" s="172"/>
    </row>
    <row r="98" spans="1:16" s="173" customFormat="1" ht="75">
      <c r="A98" s="162"/>
      <c r="B98" s="121" t="s">
        <v>395</v>
      </c>
      <c r="C98" s="201"/>
      <c r="D98" s="202"/>
      <c r="E98" s="201"/>
      <c r="F98" s="203"/>
      <c r="G98" s="204"/>
      <c r="H98" s="205"/>
      <c r="I98" s="206"/>
      <c r="J98" s="168"/>
      <c r="K98" s="169"/>
      <c r="L98" s="168"/>
      <c r="M98" s="170"/>
      <c r="N98" s="171"/>
      <c r="O98" s="168"/>
      <c r="P98" s="172"/>
    </row>
    <row r="99" spans="1:16" s="173" customFormat="1" ht="60">
      <c r="A99" s="162"/>
      <c r="B99" s="119" t="s">
        <v>314</v>
      </c>
      <c r="C99" s="109">
        <v>0.4</v>
      </c>
      <c r="D99" s="111" t="s">
        <v>351</v>
      </c>
      <c r="E99" s="109">
        <v>0.14000000000000001</v>
      </c>
      <c r="F99" s="113" t="s">
        <v>21</v>
      </c>
      <c r="G99" s="126" t="s">
        <v>347</v>
      </c>
      <c r="H99" s="141">
        <f>(722*E99)*1.06*1.05*1.051*1.051*1.054</f>
        <v>130.98043864388617</v>
      </c>
      <c r="I99" s="206"/>
      <c r="J99" s="168"/>
      <c r="K99" s="169"/>
      <c r="L99" s="168"/>
      <c r="M99" s="170"/>
      <c r="N99" s="171"/>
      <c r="O99" s="168"/>
      <c r="P99" s="172"/>
    </row>
    <row r="100" spans="1:16" s="173" customFormat="1">
      <c r="A100" s="162"/>
      <c r="B100" s="180" t="s">
        <v>112</v>
      </c>
      <c r="C100" s="109">
        <v>0.4</v>
      </c>
      <c r="D100" s="111">
        <v>1</v>
      </c>
      <c r="E100" s="109">
        <f>E99*0.5</f>
        <v>7.0000000000000007E-2</v>
      </c>
      <c r="F100" s="113" t="s">
        <v>21</v>
      </c>
      <c r="G100" s="126" t="s">
        <v>312</v>
      </c>
      <c r="H100" s="141">
        <f>E100*1338*1.05*1.051*1.051*1.054</f>
        <v>114.49578405472201</v>
      </c>
      <c r="I100" s="206"/>
      <c r="J100" s="168"/>
      <c r="K100" s="169"/>
      <c r="L100" s="168"/>
      <c r="M100" s="170"/>
      <c r="N100" s="171"/>
      <c r="O100" s="168"/>
      <c r="P100" s="172"/>
    </row>
    <row r="101" spans="1:16" s="173" customFormat="1" ht="60">
      <c r="A101" s="162"/>
      <c r="B101" s="181" t="s">
        <v>20</v>
      </c>
      <c r="C101" s="109">
        <v>0.4</v>
      </c>
      <c r="D101" s="111" t="s">
        <v>129</v>
      </c>
      <c r="E101" s="109">
        <f>E99-E100</f>
        <v>7.0000000000000007E-2</v>
      </c>
      <c r="F101" s="182" t="s">
        <v>21</v>
      </c>
      <c r="G101" s="126" t="s">
        <v>313</v>
      </c>
      <c r="H101" s="109">
        <f>E101*15329</f>
        <v>1073.0300000000002</v>
      </c>
      <c r="I101" s="206"/>
      <c r="J101" s="168"/>
      <c r="K101" s="169"/>
      <c r="L101" s="168"/>
      <c r="M101" s="170"/>
      <c r="N101" s="171"/>
      <c r="O101" s="168"/>
      <c r="P101" s="172"/>
    </row>
    <row r="102" spans="1:16" s="173" customFormat="1">
      <c r="A102" s="162"/>
      <c r="B102" s="183" t="s">
        <v>310</v>
      </c>
      <c r="C102" s="184"/>
      <c r="D102" s="185"/>
      <c r="E102" s="184"/>
      <c r="F102" s="186"/>
      <c r="G102" s="187"/>
      <c r="H102" s="188">
        <f>H99+H100+H101</f>
        <v>1318.5062226986083</v>
      </c>
      <c r="I102" s="210">
        <f>431.964535990874*2</f>
        <v>863.92907198174805</v>
      </c>
      <c r="J102" s="168"/>
      <c r="K102" s="169"/>
      <c r="L102" s="168"/>
      <c r="M102" s="170"/>
      <c r="N102" s="171"/>
      <c r="O102" s="168"/>
      <c r="P102" s="172"/>
    </row>
    <row r="103" spans="1:16" s="173" customFormat="1" ht="105">
      <c r="A103" s="162"/>
      <c r="B103" s="121" t="s">
        <v>348</v>
      </c>
      <c r="C103" s="184"/>
      <c r="D103" s="185"/>
      <c r="E103" s="184"/>
      <c r="F103" s="186"/>
      <c r="G103" s="187"/>
      <c r="H103" s="188"/>
      <c r="I103" s="210"/>
      <c r="J103" s="168"/>
      <c r="K103" s="169"/>
      <c r="L103" s="168"/>
      <c r="M103" s="170"/>
      <c r="N103" s="171"/>
      <c r="O103" s="168"/>
      <c r="P103" s="172"/>
    </row>
    <row r="104" spans="1:16" s="173" customFormat="1" ht="75">
      <c r="A104" s="162"/>
      <c r="B104" s="119" t="s">
        <v>314</v>
      </c>
      <c r="C104" s="109" t="s">
        <v>349</v>
      </c>
      <c r="D104" s="111" t="s">
        <v>356</v>
      </c>
      <c r="E104" s="109">
        <v>8.4700000000000006</v>
      </c>
      <c r="F104" s="113" t="s">
        <v>21</v>
      </c>
      <c r="G104" s="126" t="s">
        <v>311</v>
      </c>
      <c r="H104" s="141">
        <f>(448*6+2136*1.47)*1.06*1.05*1.051*1.051*1.054</f>
        <v>7551.8749305646734</v>
      </c>
      <c r="I104" s="210"/>
      <c r="J104" s="168"/>
      <c r="K104" s="169"/>
      <c r="L104" s="168"/>
      <c r="M104" s="170"/>
      <c r="N104" s="171"/>
      <c r="O104" s="168"/>
      <c r="P104" s="172"/>
    </row>
    <row r="105" spans="1:16" s="173" customFormat="1">
      <c r="A105" s="162"/>
      <c r="B105" s="180" t="s">
        <v>112</v>
      </c>
      <c r="C105" s="109" t="s">
        <v>349</v>
      </c>
      <c r="D105" s="111">
        <v>1</v>
      </c>
      <c r="E105" s="109">
        <f>E104-E106</f>
        <v>7.4700000000000006</v>
      </c>
      <c r="F105" s="113" t="s">
        <v>21</v>
      </c>
      <c r="G105" s="126" t="s">
        <v>357</v>
      </c>
      <c r="H105" s="141">
        <f>(6*1338*1.05*1.051*1.051*1.054)+(1.47*496*1.05*1.051*1.051*1.054)</f>
        <v>10705.245787543103</v>
      </c>
      <c r="I105" s="210"/>
      <c r="J105" s="168"/>
      <c r="K105" s="169"/>
      <c r="L105" s="168"/>
      <c r="M105" s="170"/>
      <c r="N105" s="171"/>
      <c r="O105" s="168"/>
      <c r="P105" s="172"/>
    </row>
    <row r="106" spans="1:16" s="173" customFormat="1" ht="60">
      <c r="A106" s="162"/>
      <c r="B106" s="181" t="s">
        <v>20</v>
      </c>
      <c r="C106" s="109" t="s">
        <v>349</v>
      </c>
      <c r="D106" s="111" t="s">
        <v>129</v>
      </c>
      <c r="E106" s="109">
        <v>1</v>
      </c>
      <c r="F106" s="182" t="s">
        <v>21</v>
      </c>
      <c r="G106" s="126" t="s">
        <v>313</v>
      </c>
      <c r="H106" s="109">
        <f>E106*15329</f>
        <v>15329</v>
      </c>
      <c r="I106" s="210"/>
      <c r="J106" s="168"/>
      <c r="K106" s="169"/>
      <c r="L106" s="168"/>
      <c r="M106" s="170"/>
      <c r="N106" s="171"/>
      <c r="O106" s="168"/>
      <c r="P106" s="172"/>
    </row>
    <row r="107" spans="1:16" s="173" customFormat="1">
      <c r="A107" s="162"/>
      <c r="B107" s="183" t="s">
        <v>310</v>
      </c>
      <c r="C107" s="184"/>
      <c r="D107" s="185"/>
      <c r="E107" s="184"/>
      <c r="F107" s="186"/>
      <c r="G107" s="187"/>
      <c r="H107" s="188">
        <f>H104+H105+H106</f>
        <v>33586.120718107777</v>
      </c>
      <c r="I107" s="210">
        <v>30553</v>
      </c>
      <c r="J107" s="168"/>
      <c r="K107" s="169"/>
      <c r="L107" s="168"/>
      <c r="M107" s="170"/>
      <c r="N107" s="171"/>
      <c r="O107" s="168"/>
      <c r="P107" s="172"/>
    </row>
    <row r="108" spans="1:16" s="173" customFormat="1" ht="60">
      <c r="A108" s="162"/>
      <c r="B108" s="121" t="s">
        <v>358</v>
      </c>
      <c r="C108" s="184"/>
      <c r="D108" s="185"/>
      <c r="E108" s="184"/>
      <c r="F108" s="186"/>
      <c r="G108" s="187"/>
      <c r="H108" s="188"/>
      <c r="I108" s="210"/>
      <c r="J108" s="168"/>
      <c r="K108" s="169"/>
      <c r="L108" s="168"/>
      <c r="M108" s="170"/>
      <c r="N108" s="171"/>
      <c r="O108" s="168"/>
      <c r="P108" s="172"/>
    </row>
    <row r="109" spans="1:16" s="173" customFormat="1" ht="75">
      <c r="A109" s="162"/>
      <c r="B109" s="119" t="s">
        <v>314</v>
      </c>
      <c r="C109" s="109" t="s">
        <v>349</v>
      </c>
      <c r="D109" s="111" t="s">
        <v>356</v>
      </c>
      <c r="E109" s="109">
        <v>7.69</v>
      </c>
      <c r="F109" s="113" t="s">
        <v>21</v>
      </c>
      <c r="G109" s="126" t="s">
        <v>311</v>
      </c>
      <c r="H109" s="141">
        <f>(448*6+2136*1.69)*1.06*1.05*1.051*1.051*1.054</f>
        <v>8160.801797675229</v>
      </c>
      <c r="I109" s="210"/>
      <c r="J109" s="168"/>
      <c r="K109" s="169"/>
      <c r="L109" s="168"/>
      <c r="M109" s="170"/>
      <c r="N109" s="171"/>
      <c r="O109" s="168"/>
      <c r="P109" s="172"/>
    </row>
    <row r="110" spans="1:16" s="173" customFormat="1">
      <c r="A110" s="162"/>
      <c r="B110" s="180" t="s">
        <v>112</v>
      </c>
      <c r="C110" s="109" t="s">
        <v>349</v>
      </c>
      <c r="D110" s="111">
        <v>1</v>
      </c>
      <c r="E110" s="109">
        <f>E109-E111</f>
        <v>6.69</v>
      </c>
      <c r="F110" s="113" t="s">
        <v>21</v>
      </c>
      <c r="G110" s="126" t="s">
        <v>357</v>
      </c>
      <c r="H110" s="141">
        <f>(6*1338*1.05*1.051*1.051*1.054)+(1.69*496*1.05*1.051*1.051*1.054)</f>
        <v>10838.640832984607</v>
      </c>
      <c r="I110" s="210"/>
      <c r="J110" s="168"/>
      <c r="K110" s="169"/>
      <c r="L110" s="168"/>
      <c r="M110" s="170"/>
      <c r="N110" s="171"/>
      <c r="O110" s="168"/>
      <c r="P110" s="172"/>
    </row>
    <row r="111" spans="1:16" s="173" customFormat="1" ht="60">
      <c r="A111" s="162"/>
      <c r="B111" s="181" t="s">
        <v>20</v>
      </c>
      <c r="C111" s="109" t="s">
        <v>349</v>
      </c>
      <c r="D111" s="111" t="s">
        <v>129</v>
      </c>
      <c r="E111" s="109">
        <v>1</v>
      </c>
      <c r="F111" s="182" t="s">
        <v>21</v>
      </c>
      <c r="G111" s="126" t="s">
        <v>313</v>
      </c>
      <c r="H111" s="109">
        <f>E111*15329</f>
        <v>15329</v>
      </c>
      <c r="I111" s="210"/>
      <c r="J111" s="168"/>
      <c r="K111" s="169"/>
      <c r="L111" s="168"/>
      <c r="M111" s="170"/>
      <c r="N111" s="171"/>
      <c r="O111" s="168"/>
      <c r="P111" s="172"/>
    </row>
    <row r="112" spans="1:16" s="173" customFormat="1">
      <c r="A112" s="162"/>
      <c r="B112" s="183" t="s">
        <v>310</v>
      </c>
      <c r="C112" s="184"/>
      <c r="D112" s="185"/>
      <c r="E112" s="184"/>
      <c r="F112" s="186"/>
      <c r="G112" s="187"/>
      <c r="H112" s="188">
        <f>H109+H110+H111</f>
        <v>34328.442630659833</v>
      </c>
      <c r="I112" s="193">
        <v>27759.5</v>
      </c>
      <c r="J112" s="168"/>
      <c r="K112" s="169"/>
      <c r="L112" s="168"/>
      <c r="M112" s="170"/>
      <c r="N112" s="171"/>
      <c r="O112" s="168"/>
      <c r="P112" s="172"/>
    </row>
    <row r="113" spans="1:16" s="173" customFormat="1">
      <c r="A113" s="162"/>
      <c r="B113" s="183" t="s">
        <v>243</v>
      </c>
      <c r="C113" s="184"/>
      <c r="D113" s="185"/>
      <c r="E113" s="184"/>
      <c r="F113" s="186"/>
      <c r="G113" s="187"/>
      <c r="H113" s="188"/>
      <c r="I113" s="210"/>
      <c r="J113" s="168"/>
      <c r="K113" s="169"/>
      <c r="L113" s="168"/>
      <c r="M113" s="170"/>
      <c r="N113" s="171"/>
      <c r="O113" s="168"/>
      <c r="P113" s="172"/>
    </row>
    <row r="114" spans="1:16" s="173" customFormat="1" ht="120">
      <c r="A114" s="162"/>
      <c r="B114" s="119" t="s">
        <v>309</v>
      </c>
      <c r="C114" s="184"/>
      <c r="D114" s="185"/>
      <c r="E114" s="184"/>
      <c r="F114" s="186"/>
      <c r="G114" s="187"/>
      <c r="H114" s="188"/>
      <c r="I114" s="210"/>
      <c r="J114" s="168"/>
      <c r="K114" s="169"/>
      <c r="L114" s="168"/>
      <c r="M114" s="170"/>
      <c r="N114" s="171"/>
      <c r="O114" s="168"/>
      <c r="P114" s="172"/>
    </row>
    <row r="115" spans="1:16" s="173" customFormat="1" ht="75">
      <c r="A115" s="162"/>
      <c r="B115" s="119" t="s">
        <v>314</v>
      </c>
      <c r="C115" s="109" t="s">
        <v>349</v>
      </c>
      <c r="D115" s="111" t="s">
        <v>356</v>
      </c>
      <c r="E115" s="109">
        <v>0.47299999999999998</v>
      </c>
      <c r="F115" s="113" t="s">
        <v>21</v>
      </c>
      <c r="G115" s="126" t="s">
        <v>311</v>
      </c>
      <c r="H115" s="141">
        <f>(448*0.4+2136*0.073)*1.06*1.05*1.051*1.051*1.054*1.049</f>
        <v>455.54093640184857</v>
      </c>
      <c r="I115" s="210"/>
      <c r="J115" s="168"/>
      <c r="K115" s="169"/>
      <c r="L115" s="168"/>
      <c r="M115" s="170"/>
      <c r="N115" s="171"/>
      <c r="O115" s="168"/>
      <c r="P115" s="172"/>
    </row>
    <row r="116" spans="1:16" s="173" customFormat="1">
      <c r="A116" s="162"/>
      <c r="B116" s="180" t="s">
        <v>112</v>
      </c>
      <c r="C116" s="109" t="s">
        <v>349</v>
      </c>
      <c r="D116" s="111">
        <v>1</v>
      </c>
      <c r="E116" s="109">
        <f>E115-E117</f>
        <v>0.373</v>
      </c>
      <c r="F116" s="113" t="s">
        <v>21</v>
      </c>
      <c r="G116" s="126" t="s">
        <v>357</v>
      </c>
      <c r="H116" s="141">
        <f>(0.4*1338*1.05*1.051*1.051*1.054)+(0.073*496*1.05*1.051*1.051*1.054)</f>
        <v>698.52452461179359</v>
      </c>
      <c r="I116" s="210"/>
      <c r="J116" s="168"/>
      <c r="K116" s="169"/>
      <c r="L116" s="168"/>
      <c r="M116" s="170"/>
      <c r="N116" s="171"/>
      <c r="O116" s="168"/>
      <c r="P116" s="172"/>
    </row>
    <row r="117" spans="1:16" s="173" customFormat="1" ht="60">
      <c r="A117" s="162"/>
      <c r="B117" s="181" t="s">
        <v>20</v>
      </c>
      <c r="C117" s="109" t="s">
        <v>349</v>
      </c>
      <c r="D117" s="111" t="s">
        <v>129</v>
      </c>
      <c r="E117" s="109">
        <v>0.1</v>
      </c>
      <c r="F117" s="182" t="s">
        <v>21</v>
      </c>
      <c r="G117" s="126" t="s">
        <v>313</v>
      </c>
      <c r="H117" s="109">
        <f>E117*15329</f>
        <v>1532.9</v>
      </c>
      <c r="I117" s="210"/>
      <c r="J117" s="168"/>
      <c r="K117" s="169"/>
      <c r="L117" s="168"/>
      <c r="M117" s="170"/>
      <c r="N117" s="171"/>
      <c r="O117" s="168"/>
      <c r="P117" s="172"/>
    </row>
    <row r="118" spans="1:16" s="173" customFormat="1">
      <c r="A118" s="162"/>
      <c r="B118" s="183" t="s">
        <v>310</v>
      </c>
      <c r="C118" s="184"/>
      <c r="D118" s="185"/>
      <c r="E118" s="184"/>
      <c r="F118" s="186"/>
      <c r="G118" s="187"/>
      <c r="H118" s="188">
        <f>H115+H116+H117</f>
        <v>2686.9654610136422</v>
      </c>
      <c r="I118" s="193">
        <f>615.84+1231.68</f>
        <v>1847.52</v>
      </c>
      <c r="J118" s="168"/>
      <c r="K118" s="169"/>
      <c r="L118" s="168"/>
      <c r="M118" s="170"/>
      <c r="N118" s="171"/>
      <c r="O118" s="168"/>
      <c r="P118" s="172"/>
    </row>
    <row r="119" spans="1:16" s="173" customFormat="1" ht="57">
      <c r="A119" s="162"/>
      <c r="B119" s="212" t="s">
        <v>402</v>
      </c>
      <c r="C119" s="184"/>
      <c r="D119" s="185"/>
      <c r="E119" s="184"/>
      <c r="F119" s="186"/>
      <c r="G119" s="187"/>
      <c r="H119" s="188"/>
      <c r="I119" s="210"/>
      <c r="J119" s="168"/>
      <c r="K119" s="169"/>
      <c r="L119" s="168"/>
      <c r="M119" s="170"/>
      <c r="N119" s="171"/>
      <c r="O119" s="168"/>
      <c r="P119" s="172"/>
    </row>
    <row r="120" spans="1:16" s="173" customFormat="1" ht="30">
      <c r="A120" s="162"/>
      <c r="B120" s="147" t="s">
        <v>403</v>
      </c>
      <c r="C120" s="184"/>
      <c r="D120" s="185"/>
      <c r="E120" s="184"/>
      <c r="F120" s="186"/>
      <c r="G120" s="187"/>
      <c r="H120" s="188"/>
      <c r="I120" s="210"/>
      <c r="J120" s="168"/>
      <c r="K120" s="169"/>
      <c r="L120" s="168"/>
      <c r="M120" s="170"/>
      <c r="N120" s="171"/>
      <c r="O120" s="168"/>
      <c r="P120" s="172"/>
    </row>
    <row r="121" spans="1:16" s="173" customFormat="1" ht="60">
      <c r="A121" s="162"/>
      <c r="B121" s="119" t="s">
        <v>314</v>
      </c>
      <c r="C121" s="109">
        <v>0.4</v>
      </c>
      <c r="D121" s="111" t="s">
        <v>351</v>
      </c>
      <c r="E121" s="109">
        <v>0.08</v>
      </c>
      <c r="F121" s="113" t="s">
        <v>21</v>
      </c>
      <c r="G121" s="126" t="s">
        <v>347</v>
      </c>
      <c r="H121" s="141">
        <f>(722*E121)*1.06*1.05*1.051*1.051*1.054*1.049</f>
        <v>78.513417221392316</v>
      </c>
      <c r="I121" s="210"/>
      <c r="J121" s="168"/>
      <c r="K121" s="169"/>
      <c r="L121" s="168"/>
      <c r="M121" s="170"/>
      <c r="N121" s="171"/>
      <c r="O121" s="168"/>
      <c r="P121" s="172"/>
    </row>
    <row r="122" spans="1:16" s="173" customFormat="1">
      <c r="A122" s="162"/>
      <c r="B122" s="180" t="s">
        <v>112</v>
      </c>
      <c r="C122" s="109">
        <v>0.4</v>
      </c>
      <c r="D122" s="111">
        <v>1</v>
      </c>
      <c r="E122" s="109">
        <f>E121*0.5</f>
        <v>0.04</v>
      </c>
      <c r="F122" s="113" t="s">
        <v>21</v>
      </c>
      <c r="G122" s="126" t="s">
        <v>312</v>
      </c>
      <c r="H122" s="141">
        <f>E122*1338*1.05*1.051*1.051*1.054*1.049</f>
        <v>68.632044270516204</v>
      </c>
      <c r="I122" s="210"/>
      <c r="J122" s="168"/>
      <c r="K122" s="169"/>
      <c r="L122" s="168"/>
      <c r="M122" s="170"/>
      <c r="N122" s="171"/>
      <c r="O122" s="168"/>
      <c r="P122" s="172"/>
    </row>
    <row r="123" spans="1:16" s="173" customFormat="1" ht="60">
      <c r="A123" s="162"/>
      <c r="B123" s="181" t="s">
        <v>20</v>
      </c>
      <c r="C123" s="109">
        <v>0.4</v>
      </c>
      <c r="D123" s="111" t="s">
        <v>129</v>
      </c>
      <c r="E123" s="109">
        <f>E121-E122</f>
        <v>0.04</v>
      </c>
      <c r="F123" s="182" t="s">
        <v>21</v>
      </c>
      <c r="G123" s="126" t="s">
        <v>313</v>
      </c>
      <c r="H123" s="109">
        <f>E123*15329</f>
        <v>613.16</v>
      </c>
      <c r="I123" s="210"/>
      <c r="J123" s="168"/>
      <c r="K123" s="169"/>
      <c r="L123" s="168"/>
      <c r="M123" s="170"/>
      <c r="N123" s="171"/>
      <c r="O123" s="168"/>
      <c r="P123" s="172"/>
    </row>
    <row r="124" spans="1:16" s="173" customFormat="1">
      <c r="A124" s="162"/>
      <c r="B124" s="183" t="s">
        <v>310</v>
      </c>
      <c r="C124" s="184"/>
      <c r="D124" s="185"/>
      <c r="E124" s="184"/>
      <c r="F124" s="186"/>
      <c r="G124" s="187"/>
      <c r="H124" s="188">
        <f>H121+H122+H123</f>
        <v>760.30546149190855</v>
      </c>
      <c r="I124" s="213">
        <v>712.96573838917379</v>
      </c>
      <c r="J124" s="168"/>
      <c r="K124" s="169"/>
      <c r="L124" s="168"/>
      <c r="M124" s="170"/>
      <c r="N124" s="171"/>
      <c r="O124" s="168"/>
      <c r="P124" s="172"/>
    </row>
    <row r="125" spans="1:16" s="173" customFormat="1" ht="30">
      <c r="A125" s="162"/>
      <c r="B125" s="147" t="s">
        <v>404</v>
      </c>
      <c r="C125" s="184"/>
      <c r="D125" s="185"/>
      <c r="E125" s="184"/>
      <c r="F125" s="186"/>
      <c r="G125" s="187"/>
      <c r="H125" s="188"/>
      <c r="I125" s="210"/>
      <c r="J125" s="168"/>
      <c r="K125" s="169"/>
      <c r="L125" s="168"/>
      <c r="M125" s="170"/>
      <c r="N125" s="171"/>
      <c r="O125" s="168"/>
      <c r="P125" s="172"/>
    </row>
    <row r="126" spans="1:16" s="173" customFormat="1" ht="60">
      <c r="A126" s="162"/>
      <c r="B126" s="181" t="s">
        <v>20</v>
      </c>
      <c r="C126" s="109">
        <v>0.4</v>
      </c>
      <c r="D126" s="111" t="s">
        <v>129</v>
      </c>
      <c r="E126" s="109">
        <v>4.5999999999999999E-2</v>
      </c>
      <c r="F126" s="182" t="s">
        <v>21</v>
      </c>
      <c r="G126" s="126" t="s">
        <v>313</v>
      </c>
      <c r="H126" s="109">
        <f>E126*15329</f>
        <v>705.13400000000001</v>
      </c>
      <c r="I126" s="210"/>
      <c r="J126" s="168"/>
      <c r="K126" s="169"/>
      <c r="L126" s="168"/>
      <c r="M126" s="170"/>
      <c r="N126" s="171"/>
      <c r="O126" s="168"/>
      <c r="P126" s="172"/>
    </row>
    <row r="127" spans="1:16" s="173" customFormat="1">
      <c r="A127" s="162"/>
      <c r="B127" s="183" t="s">
        <v>310</v>
      </c>
      <c r="C127" s="184"/>
      <c r="D127" s="185"/>
      <c r="E127" s="184"/>
      <c r="F127" s="186"/>
      <c r="G127" s="187"/>
      <c r="H127" s="188">
        <f>H126</f>
        <v>705.13400000000001</v>
      </c>
      <c r="I127" s="213">
        <v>688.96528495500559</v>
      </c>
      <c r="J127" s="168"/>
      <c r="K127" s="169"/>
      <c r="L127" s="168"/>
      <c r="M127" s="170"/>
      <c r="N127" s="171"/>
      <c r="O127" s="168"/>
      <c r="P127" s="172"/>
    </row>
    <row r="128" spans="1:16" s="173" customFormat="1" ht="45">
      <c r="A128" s="162"/>
      <c r="B128" s="147" t="s">
        <v>405</v>
      </c>
      <c r="C128" s="184"/>
      <c r="D128" s="185"/>
      <c r="E128" s="184"/>
      <c r="F128" s="186"/>
      <c r="G128" s="187"/>
      <c r="H128" s="188"/>
      <c r="I128" s="210"/>
      <c r="J128" s="168"/>
      <c r="K128" s="169"/>
      <c r="L128" s="168"/>
      <c r="M128" s="170"/>
      <c r="N128" s="171"/>
      <c r="O128" s="168"/>
      <c r="P128" s="172"/>
    </row>
    <row r="129" spans="1:16" s="173" customFormat="1" ht="60">
      <c r="A129" s="162"/>
      <c r="B129" s="181" t="s">
        <v>20</v>
      </c>
      <c r="C129" s="109">
        <v>0.4</v>
      </c>
      <c r="D129" s="111" t="s">
        <v>129</v>
      </c>
      <c r="E129" s="109">
        <v>0.02</v>
      </c>
      <c r="F129" s="182" t="s">
        <v>21</v>
      </c>
      <c r="G129" s="126" t="s">
        <v>313</v>
      </c>
      <c r="H129" s="109">
        <f>E129*15329</f>
        <v>306.58</v>
      </c>
      <c r="I129" s="210"/>
      <c r="J129" s="168"/>
      <c r="K129" s="169"/>
      <c r="L129" s="168"/>
      <c r="M129" s="170"/>
      <c r="N129" s="171"/>
      <c r="O129" s="168"/>
      <c r="P129" s="172"/>
    </row>
    <row r="130" spans="1:16" s="173" customFormat="1">
      <c r="A130" s="162"/>
      <c r="B130" s="183" t="s">
        <v>310</v>
      </c>
      <c r="C130" s="184"/>
      <c r="D130" s="185"/>
      <c r="E130" s="184"/>
      <c r="F130" s="186"/>
      <c r="G130" s="187"/>
      <c r="H130" s="188">
        <f>H129</f>
        <v>306.58</v>
      </c>
      <c r="I130" s="213">
        <v>299.55012389348087</v>
      </c>
      <c r="J130" s="168"/>
      <c r="K130" s="169"/>
      <c r="L130" s="168"/>
      <c r="M130" s="170"/>
      <c r="N130" s="171"/>
      <c r="O130" s="168"/>
      <c r="P130" s="172"/>
    </row>
    <row r="131" spans="1:16" s="173" customFormat="1" ht="45">
      <c r="A131" s="162"/>
      <c r="B131" s="214" t="s">
        <v>406</v>
      </c>
      <c r="C131" s="184"/>
      <c r="D131" s="185"/>
      <c r="E131" s="184"/>
      <c r="F131" s="186"/>
      <c r="G131" s="187"/>
      <c r="H131" s="188"/>
      <c r="I131" s="210"/>
      <c r="J131" s="168"/>
      <c r="K131" s="169"/>
      <c r="L131" s="168"/>
      <c r="M131" s="170"/>
      <c r="N131" s="171"/>
      <c r="O131" s="168"/>
      <c r="P131" s="172"/>
    </row>
    <row r="132" spans="1:16" s="173" customFormat="1" ht="60">
      <c r="A132" s="162"/>
      <c r="B132" s="119" t="s">
        <v>314</v>
      </c>
      <c r="C132" s="109">
        <v>0.4</v>
      </c>
      <c r="D132" s="111" t="s">
        <v>351</v>
      </c>
      <c r="E132" s="109">
        <v>4.2000000000000003E-2</v>
      </c>
      <c r="F132" s="113" t="s">
        <v>21</v>
      </c>
      <c r="G132" s="126" t="s">
        <v>347</v>
      </c>
      <c r="H132" s="141">
        <f>(722*E132)*1.06*1.05*1.051*1.051*1.054*1.049</f>
        <v>41.219544041230975</v>
      </c>
      <c r="I132" s="210"/>
      <c r="J132" s="168"/>
      <c r="K132" s="169"/>
      <c r="L132" s="168"/>
      <c r="M132" s="170"/>
      <c r="N132" s="171"/>
      <c r="O132" s="168"/>
      <c r="P132" s="172"/>
    </row>
    <row r="133" spans="1:16" s="173" customFormat="1">
      <c r="A133" s="162"/>
      <c r="B133" s="180" t="s">
        <v>112</v>
      </c>
      <c r="C133" s="109">
        <v>0.4</v>
      </c>
      <c r="D133" s="111">
        <v>1</v>
      </c>
      <c r="E133" s="109">
        <f>E132*0.5</f>
        <v>2.1000000000000001E-2</v>
      </c>
      <c r="F133" s="113" t="s">
        <v>21</v>
      </c>
      <c r="G133" s="126" t="s">
        <v>312</v>
      </c>
      <c r="H133" s="141">
        <f>E133*1338*1.05*1.051*1.051*1.054*1.049</f>
        <v>36.031823242021012</v>
      </c>
      <c r="I133" s="210"/>
      <c r="J133" s="168"/>
      <c r="K133" s="169"/>
      <c r="L133" s="168"/>
      <c r="M133" s="170"/>
      <c r="N133" s="171"/>
      <c r="O133" s="168"/>
      <c r="P133" s="172"/>
    </row>
    <row r="134" spans="1:16" s="173" customFormat="1" ht="60">
      <c r="A134" s="162"/>
      <c r="B134" s="181" t="s">
        <v>20</v>
      </c>
      <c r="C134" s="109">
        <v>0.4</v>
      </c>
      <c r="D134" s="111" t="s">
        <v>129</v>
      </c>
      <c r="E134" s="109">
        <f>E132-E133</f>
        <v>2.1000000000000001E-2</v>
      </c>
      <c r="F134" s="182" t="s">
        <v>21</v>
      </c>
      <c r="G134" s="126" t="s">
        <v>313</v>
      </c>
      <c r="H134" s="109">
        <f>E134*15329</f>
        <v>321.90899999999999</v>
      </c>
      <c r="I134" s="210"/>
      <c r="J134" s="168"/>
      <c r="K134" s="169"/>
      <c r="L134" s="168"/>
      <c r="M134" s="170"/>
      <c r="N134" s="171"/>
      <c r="O134" s="168"/>
      <c r="P134" s="172"/>
    </row>
    <row r="135" spans="1:16" s="173" customFormat="1">
      <c r="A135" s="162"/>
      <c r="B135" s="183" t="s">
        <v>310</v>
      </c>
      <c r="C135" s="184"/>
      <c r="D135" s="185"/>
      <c r="E135" s="184"/>
      <c r="F135" s="186"/>
      <c r="G135" s="187"/>
      <c r="H135" s="188">
        <f>H132+H133+H134</f>
        <v>399.16036728325196</v>
      </c>
      <c r="I135" s="213">
        <v>119.55876513232188</v>
      </c>
      <c r="J135" s="168"/>
      <c r="K135" s="169"/>
      <c r="L135" s="168"/>
      <c r="M135" s="170"/>
      <c r="N135" s="171"/>
      <c r="O135" s="168"/>
      <c r="P135" s="172"/>
    </row>
    <row r="136" spans="1:16" s="173" customFormat="1" ht="45">
      <c r="A136" s="162"/>
      <c r="B136" s="214" t="s">
        <v>407</v>
      </c>
      <c r="C136" s="184"/>
      <c r="D136" s="185"/>
      <c r="E136" s="184"/>
      <c r="F136" s="186"/>
      <c r="G136" s="187"/>
      <c r="H136" s="188"/>
      <c r="I136" s="210"/>
      <c r="J136" s="168"/>
      <c r="K136" s="169"/>
      <c r="L136" s="168"/>
      <c r="M136" s="170"/>
      <c r="N136" s="171"/>
      <c r="O136" s="168"/>
      <c r="P136" s="172"/>
    </row>
    <row r="137" spans="1:16" s="173" customFormat="1" ht="60">
      <c r="A137" s="162"/>
      <c r="B137" s="119" t="s">
        <v>314</v>
      </c>
      <c r="C137" s="109">
        <v>0.4</v>
      </c>
      <c r="D137" s="111" t="s">
        <v>351</v>
      </c>
      <c r="E137" s="109">
        <v>2.3E-2</v>
      </c>
      <c r="F137" s="113" t="s">
        <v>21</v>
      </c>
      <c r="G137" s="126" t="s">
        <v>347</v>
      </c>
      <c r="H137" s="141">
        <f>(722*E137)*1.06*1.05*1.051*1.051*1.054*1.049</f>
        <v>22.572607451150287</v>
      </c>
      <c r="I137" s="210"/>
      <c r="J137" s="168"/>
      <c r="K137" s="169"/>
      <c r="L137" s="168"/>
      <c r="M137" s="170"/>
      <c r="N137" s="171"/>
      <c r="O137" s="168"/>
      <c r="P137" s="172"/>
    </row>
    <row r="138" spans="1:16" s="173" customFormat="1">
      <c r="A138" s="162"/>
      <c r="B138" s="180" t="s">
        <v>112</v>
      </c>
      <c r="C138" s="109">
        <v>0.4</v>
      </c>
      <c r="D138" s="111">
        <v>1</v>
      </c>
      <c r="E138" s="109">
        <f>E137*0.9</f>
        <v>2.07E-2</v>
      </c>
      <c r="F138" s="113" t="s">
        <v>21</v>
      </c>
      <c r="G138" s="126" t="s">
        <v>312</v>
      </c>
      <c r="H138" s="141">
        <f>E138*1338*1.05*1.051*1.051*1.054*1.049</f>
        <v>35.517082909992141</v>
      </c>
      <c r="I138" s="215"/>
      <c r="J138" s="168"/>
      <c r="K138" s="169"/>
      <c r="L138" s="168"/>
      <c r="M138" s="170"/>
      <c r="N138" s="171"/>
      <c r="O138" s="168"/>
      <c r="P138" s="172"/>
    </row>
    <row r="139" spans="1:16" s="173" customFormat="1" ht="60">
      <c r="A139" s="162"/>
      <c r="B139" s="181" t="s">
        <v>20</v>
      </c>
      <c r="C139" s="109">
        <v>0.4</v>
      </c>
      <c r="D139" s="111" t="s">
        <v>129</v>
      </c>
      <c r="E139" s="109">
        <f>E137-E138</f>
        <v>2.3E-3</v>
      </c>
      <c r="F139" s="182" t="s">
        <v>21</v>
      </c>
      <c r="G139" s="126" t="s">
        <v>313</v>
      </c>
      <c r="H139" s="109">
        <f>E139*15329</f>
        <v>35.256700000000002</v>
      </c>
      <c r="I139" s="210"/>
      <c r="J139" s="168"/>
      <c r="K139" s="169"/>
      <c r="L139" s="168"/>
      <c r="M139" s="170"/>
      <c r="N139" s="171"/>
      <c r="O139" s="168"/>
      <c r="P139" s="172"/>
    </row>
    <row r="140" spans="1:16" s="173" customFormat="1">
      <c r="A140" s="162"/>
      <c r="B140" s="183" t="s">
        <v>310</v>
      </c>
      <c r="C140" s="184"/>
      <c r="D140" s="185"/>
      <c r="E140" s="184"/>
      <c r="F140" s="186"/>
      <c r="G140" s="187"/>
      <c r="H140" s="188">
        <f>H137+H138+H139</f>
        <v>93.346390361142426</v>
      </c>
      <c r="I140" s="213">
        <v>65.472657096271803</v>
      </c>
      <c r="J140" s="168"/>
      <c r="K140" s="169"/>
      <c r="L140" s="168"/>
      <c r="M140" s="170"/>
      <c r="N140" s="171"/>
      <c r="O140" s="168"/>
      <c r="P140" s="172"/>
    </row>
    <row r="141" spans="1:16" s="173" customFormat="1" ht="30">
      <c r="A141" s="162"/>
      <c r="B141" s="214" t="s">
        <v>408</v>
      </c>
      <c r="C141" s="184"/>
      <c r="D141" s="185"/>
      <c r="E141" s="184"/>
      <c r="F141" s="186"/>
      <c r="G141" s="187"/>
      <c r="H141" s="188"/>
      <c r="I141" s="213"/>
      <c r="J141" s="168"/>
      <c r="K141" s="169"/>
      <c r="L141" s="168"/>
      <c r="M141" s="170"/>
      <c r="N141" s="171"/>
      <c r="O141" s="168"/>
      <c r="P141" s="172"/>
    </row>
    <row r="142" spans="1:16" s="173" customFormat="1" ht="60">
      <c r="A142" s="162"/>
      <c r="B142" s="119" t="s">
        <v>314</v>
      </c>
      <c r="C142" s="109">
        <v>0.4</v>
      </c>
      <c r="D142" s="111" t="s">
        <v>389</v>
      </c>
      <c r="E142" s="109">
        <v>0.1</v>
      </c>
      <c r="F142" s="113" t="s">
        <v>21</v>
      </c>
      <c r="G142" s="126" t="s">
        <v>390</v>
      </c>
      <c r="H142" s="141">
        <f>(448*E142)*1.06*1.05*1.051*1.051*1.054*1.049</f>
        <v>60.896833301910959</v>
      </c>
      <c r="I142" s="213"/>
      <c r="J142" s="168"/>
      <c r="K142" s="169"/>
      <c r="L142" s="168"/>
      <c r="M142" s="170"/>
      <c r="N142" s="171"/>
      <c r="O142" s="168"/>
      <c r="P142" s="172"/>
    </row>
    <row r="143" spans="1:16" s="173" customFormat="1">
      <c r="A143" s="162"/>
      <c r="B143" s="180" t="s">
        <v>112</v>
      </c>
      <c r="C143" s="109">
        <v>0.4</v>
      </c>
      <c r="D143" s="111">
        <v>1</v>
      </c>
      <c r="E143" s="109">
        <f>E142*0.45</f>
        <v>4.5000000000000005E-2</v>
      </c>
      <c r="F143" s="113" t="s">
        <v>21</v>
      </c>
      <c r="G143" s="126" t="s">
        <v>312</v>
      </c>
      <c r="H143" s="141">
        <f>E143*1338*1.05*1.051*1.051*1.054*1.049</f>
        <v>77.211049804330756</v>
      </c>
      <c r="I143" s="213"/>
      <c r="J143" s="168"/>
      <c r="K143" s="169"/>
      <c r="L143" s="168"/>
      <c r="M143" s="170"/>
      <c r="N143" s="171"/>
      <c r="O143" s="168"/>
      <c r="P143" s="172"/>
    </row>
    <row r="144" spans="1:16" s="173" customFormat="1" ht="60">
      <c r="A144" s="162"/>
      <c r="B144" s="181" t="s">
        <v>20</v>
      </c>
      <c r="C144" s="109">
        <v>0.4</v>
      </c>
      <c r="D144" s="111" t="s">
        <v>129</v>
      </c>
      <c r="E144" s="109">
        <f>E142-E143</f>
        <v>5.5E-2</v>
      </c>
      <c r="F144" s="182" t="s">
        <v>21</v>
      </c>
      <c r="G144" s="126" t="s">
        <v>313</v>
      </c>
      <c r="H144" s="109">
        <f>E144*15329</f>
        <v>843.09500000000003</v>
      </c>
      <c r="I144" s="213"/>
      <c r="J144" s="168"/>
      <c r="K144" s="169"/>
      <c r="L144" s="168"/>
      <c r="M144" s="170"/>
      <c r="N144" s="171"/>
      <c r="O144" s="168"/>
      <c r="P144" s="172"/>
    </row>
    <row r="145" spans="1:16" s="173" customFormat="1">
      <c r="A145" s="162"/>
      <c r="B145" s="183" t="s">
        <v>310</v>
      </c>
      <c r="C145" s="184"/>
      <c r="D145" s="185"/>
      <c r="E145" s="184"/>
      <c r="F145" s="186"/>
      <c r="G145" s="187"/>
      <c r="H145" s="188">
        <f>H142+H143+H144</f>
        <v>981.20288310624176</v>
      </c>
      <c r="I145" s="213">
        <f>928.252014801111*1.049</f>
        <v>973.73636352636538</v>
      </c>
      <c r="J145" s="168"/>
      <c r="K145" s="169"/>
      <c r="L145" s="168"/>
      <c r="M145" s="170"/>
      <c r="N145" s="171"/>
      <c r="O145" s="168"/>
      <c r="P145" s="172"/>
    </row>
    <row r="146" spans="1:16" s="173" customFormat="1" ht="105">
      <c r="A146" s="162"/>
      <c r="B146" s="121" t="s">
        <v>348</v>
      </c>
      <c r="C146" s="184"/>
      <c r="D146" s="185"/>
      <c r="E146" s="184"/>
      <c r="F146" s="186"/>
      <c r="G146" s="187"/>
      <c r="H146" s="188"/>
      <c r="I146" s="213"/>
      <c r="J146" s="168"/>
      <c r="K146" s="169"/>
      <c r="L146" s="168"/>
      <c r="M146" s="170"/>
      <c r="N146" s="171"/>
      <c r="O146" s="168"/>
      <c r="P146" s="172"/>
    </row>
    <row r="147" spans="1:16" s="173" customFormat="1" ht="75">
      <c r="A147" s="162"/>
      <c r="B147" s="119" t="s">
        <v>314</v>
      </c>
      <c r="C147" s="109" t="s">
        <v>349</v>
      </c>
      <c r="D147" s="111" t="s">
        <v>356</v>
      </c>
      <c r="E147" s="109">
        <v>8.4700000000000006</v>
      </c>
      <c r="F147" s="113" t="s">
        <v>21</v>
      </c>
      <c r="G147" s="126" t="s">
        <v>311</v>
      </c>
      <c r="H147" s="141">
        <f>(448*6+2136*1.47)*1.06*1.05*1.051*1.051*1.054*1.049</f>
        <v>7921.9168021623418</v>
      </c>
      <c r="I147" s="213"/>
      <c r="J147" s="168"/>
      <c r="K147" s="169"/>
      <c r="L147" s="168"/>
      <c r="M147" s="170"/>
      <c r="N147" s="171"/>
      <c r="O147" s="168"/>
      <c r="P147" s="172"/>
    </row>
    <row r="148" spans="1:16" s="173" customFormat="1">
      <c r="A148" s="162"/>
      <c r="B148" s="180" t="s">
        <v>112</v>
      </c>
      <c r="C148" s="109" t="s">
        <v>349</v>
      </c>
      <c r="D148" s="111">
        <v>1</v>
      </c>
      <c r="E148" s="109">
        <f>E147-E149</f>
        <v>7.4700000000000006</v>
      </c>
      <c r="F148" s="113" t="s">
        <v>21</v>
      </c>
      <c r="G148" s="126" t="s">
        <v>357</v>
      </c>
      <c r="H148" s="141">
        <f>(6*1338*1.05*1.051*1.051*1.054*1.049)+(1.47*496*1.05*1.051*1.051*1.054*1.049)</f>
        <v>11229.802831132714</v>
      </c>
      <c r="I148" s="213"/>
      <c r="J148" s="168"/>
      <c r="K148" s="169"/>
      <c r="L148" s="168"/>
      <c r="M148" s="170"/>
      <c r="N148" s="171"/>
      <c r="O148" s="168"/>
      <c r="P148" s="172"/>
    </row>
    <row r="149" spans="1:16" s="173" customFormat="1" ht="60">
      <c r="A149" s="162"/>
      <c r="B149" s="181" t="s">
        <v>20</v>
      </c>
      <c r="C149" s="109" t="s">
        <v>349</v>
      </c>
      <c r="D149" s="111" t="s">
        <v>129</v>
      </c>
      <c r="E149" s="109">
        <v>1</v>
      </c>
      <c r="F149" s="182" t="s">
        <v>21</v>
      </c>
      <c r="G149" s="126" t="s">
        <v>313</v>
      </c>
      <c r="H149" s="109">
        <f>E149*15329</f>
        <v>15329</v>
      </c>
      <c r="I149" s="213"/>
      <c r="J149" s="168"/>
      <c r="K149" s="169"/>
      <c r="L149" s="168"/>
      <c r="M149" s="170"/>
      <c r="N149" s="171"/>
      <c r="O149" s="168"/>
      <c r="P149" s="172"/>
    </row>
    <row r="150" spans="1:16" s="173" customFormat="1">
      <c r="A150" s="162"/>
      <c r="B150" s="183" t="s">
        <v>310</v>
      </c>
      <c r="C150" s="184"/>
      <c r="D150" s="185"/>
      <c r="E150" s="184"/>
      <c r="F150" s="186"/>
      <c r="G150" s="187"/>
      <c r="H150" s="188">
        <f>H147+H148+H149</f>
        <v>34480.719633295055</v>
      </c>
      <c r="I150" s="213">
        <v>32050</v>
      </c>
      <c r="J150" s="168"/>
      <c r="K150" s="169"/>
      <c r="L150" s="168"/>
      <c r="M150" s="170"/>
      <c r="N150" s="171"/>
      <c r="O150" s="168"/>
      <c r="P150" s="172"/>
    </row>
    <row r="151" spans="1:16" s="173" customFormat="1" ht="60">
      <c r="A151" s="162"/>
      <c r="B151" s="121" t="s">
        <v>358</v>
      </c>
      <c r="C151" s="184"/>
      <c r="D151" s="185"/>
      <c r="E151" s="184"/>
      <c r="F151" s="186"/>
      <c r="G151" s="187"/>
      <c r="H151" s="188"/>
      <c r="I151" s="213"/>
      <c r="J151" s="168"/>
      <c r="K151" s="169"/>
      <c r="L151" s="168"/>
      <c r="M151" s="170"/>
      <c r="N151" s="171"/>
      <c r="O151" s="168"/>
      <c r="P151" s="172"/>
    </row>
    <row r="152" spans="1:16" s="173" customFormat="1" ht="75">
      <c r="A152" s="162"/>
      <c r="B152" s="119" t="s">
        <v>314</v>
      </c>
      <c r="C152" s="109" t="s">
        <v>349</v>
      </c>
      <c r="D152" s="111" t="s">
        <v>356</v>
      </c>
      <c r="E152" s="109">
        <v>7.69</v>
      </c>
      <c r="F152" s="113" t="s">
        <v>21</v>
      </c>
      <c r="G152" s="126" t="s">
        <v>311</v>
      </c>
      <c r="H152" s="141">
        <f>(448*6+2136*1.69)*1.06*1.05*1.051*1.051*1.054*1.049</f>
        <v>8560.6810857613145</v>
      </c>
      <c r="I152" s="213"/>
      <c r="J152" s="168"/>
      <c r="K152" s="169"/>
      <c r="L152" s="168"/>
      <c r="M152" s="170"/>
      <c r="N152" s="171"/>
      <c r="O152" s="168"/>
      <c r="P152" s="172"/>
    </row>
    <row r="153" spans="1:16" s="173" customFormat="1">
      <c r="A153" s="162"/>
      <c r="B153" s="180" t="s">
        <v>112</v>
      </c>
      <c r="C153" s="109" t="s">
        <v>349</v>
      </c>
      <c r="D153" s="111">
        <v>1</v>
      </c>
      <c r="E153" s="109">
        <f>E152-E154</f>
        <v>6.69</v>
      </c>
      <c r="F153" s="113" t="s">
        <v>21</v>
      </c>
      <c r="G153" s="126" t="s">
        <v>357</v>
      </c>
      <c r="H153" s="141">
        <f>(6*1338*1.05*1.051*1.051*1.054*1.049)+(1.69*496*1.05*1.051*1.051*1.054*1.049)</f>
        <v>11369.734233800853</v>
      </c>
      <c r="I153" s="213"/>
      <c r="J153" s="168"/>
      <c r="K153" s="169"/>
      <c r="L153" s="168"/>
      <c r="M153" s="170"/>
      <c r="N153" s="171"/>
      <c r="O153" s="168"/>
      <c r="P153" s="172"/>
    </row>
    <row r="154" spans="1:16" s="173" customFormat="1" ht="60">
      <c r="A154" s="162"/>
      <c r="B154" s="181" t="s">
        <v>20</v>
      </c>
      <c r="C154" s="109" t="s">
        <v>349</v>
      </c>
      <c r="D154" s="111" t="s">
        <v>129</v>
      </c>
      <c r="E154" s="109">
        <v>1</v>
      </c>
      <c r="F154" s="182" t="s">
        <v>21</v>
      </c>
      <c r="G154" s="126" t="s">
        <v>313</v>
      </c>
      <c r="H154" s="109">
        <f>E154*15329</f>
        <v>15329</v>
      </c>
      <c r="I154" s="213"/>
      <c r="J154" s="168"/>
      <c r="K154" s="169"/>
      <c r="L154" s="168"/>
      <c r="M154" s="170"/>
      <c r="N154" s="171"/>
      <c r="O154" s="168"/>
      <c r="P154" s="172"/>
    </row>
    <row r="155" spans="1:16" s="173" customFormat="1">
      <c r="A155" s="162"/>
      <c r="B155" s="183" t="s">
        <v>310</v>
      </c>
      <c r="C155" s="184"/>
      <c r="D155" s="185"/>
      <c r="E155" s="184"/>
      <c r="F155" s="186"/>
      <c r="G155" s="187"/>
      <c r="H155" s="188">
        <f>H152+H153+H154</f>
        <v>35259.415319562169</v>
      </c>
      <c r="I155" s="213">
        <v>29120</v>
      </c>
      <c r="J155" s="168"/>
      <c r="K155" s="169"/>
      <c r="L155" s="168"/>
      <c r="M155" s="170"/>
      <c r="N155" s="171"/>
      <c r="O155" s="168"/>
      <c r="P155" s="172"/>
    </row>
    <row r="156" spans="1:16" s="173" customFormat="1">
      <c r="A156" s="162"/>
      <c r="B156" s="183" t="s">
        <v>273</v>
      </c>
      <c r="C156" s="184"/>
      <c r="D156" s="185"/>
      <c r="E156" s="184"/>
      <c r="F156" s="186"/>
      <c r="G156" s="187"/>
      <c r="H156" s="188"/>
      <c r="I156" s="213"/>
      <c r="J156" s="168"/>
      <c r="K156" s="169"/>
      <c r="L156" s="168"/>
      <c r="M156" s="170"/>
      <c r="N156" s="171"/>
      <c r="O156" s="168"/>
      <c r="P156" s="172"/>
    </row>
    <row r="157" spans="1:16" s="173" customFormat="1" ht="60">
      <c r="A157" s="162"/>
      <c r="B157" s="121" t="s">
        <v>515</v>
      </c>
      <c r="C157" s="184"/>
      <c r="D157" s="185"/>
      <c r="E157" s="184"/>
      <c r="F157" s="186"/>
      <c r="G157" s="187"/>
      <c r="H157" s="188"/>
      <c r="I157" s="213"/>
      <c r="J157" s="168"/>
      <c r="K157" s="169"/>
      <c r="L157" s="168"/>
      <c r="M157" s="170"/>
      <c r="N157" s="171"/>
      <c r="O157" s="168"/>
      <c r="P157" s="172"/>
    </row>
    <row r="158" spans="1:16" s="173" customFormat="1" ht="75">
      <c r="A158" s="162"/>
      <c r="B158" s="119" t="s">
        <v>314</v>
      </c>
      <c r="C158" s="109" t="s">
        <v>349</v>
      </c>
      <c r="D158" s="111" t="s">
        <v>356</v>
      </c>
      <c r="E158" s="109">
        <v>0.49</v>
      </c>
      <c r="F158" s="113" t="s">
        <v>21</v>
      </c>
      <c r="G158" s="126" t="s">
        <v>311</v>
      </c>
      <c r="H158" s="141">
        <f>(448*0.3+2136*0.19)*1.06*1.05*1.051*1.051*1.054*1.049*1.047</f>
        <v>768.86503947559174</v>
      </c>
      <c r="I158" s="213"/>
      <c r="J158" s="168"/>
      <c r="K158" s="169"/>
      <c r="L158" s="168"/>
      <c r="M158" s="170"/>
      <c r="N158" s="171"/>
      <c r="O158" s="168"/>
      <c r="P158" s="172"/>
    </row>
    <row r="159" spans="1:16" s="173" customFormat="1">
      <c r="A159" s="162"/>
      <c r="B159" s="180" t="s">
        <v>112</v>
      </c>
      <c r="C159" s="109" t="s">
        <v>349</v>
      </c>
      <c r="D159" s="111">
        <v>1</v>
      </c>
      <c r="E159" s="109">
        <f>E158-E160</f>
        <v>0.4</v>
      </c>
      <c r="F159" s="113" t="s">
        <v>21</v>
      </c>
      <c r="G159" s="126" t="s">
        <v>357</v>
      </c>
      <c r="H159" s="141">
        <f>(0.3*1338*1.05*1.051*1.051*1.054*1.049*1.047)+(0.19*496*1.05*1.051*1.051*1.054*1.049*1.047)</f>
        <v>665.46291823774038</v>
      </c>
      <c r="I159" s="213"/>
      <c r="J159" s="168"/>
      <c r="K159" s="169"/>
      <c r="L159" s="168"/>
      <c r="M159" s="170"/>
      <c r="N159" s="171"/>
      <c r="O159" s="168"/>
      <c r="P159" s="172"/>
    </row>
    <row r="160" spans="1:16" s="173" customFormat="1" ht="60">
      <c r="A160" s="162"/>
      <c r="B160" s="181" t="s">
        <v>20</v>
      </c>
      <c r="C160" s="109" t="s">
        <v>349</v>
      </c>
      <c r="D160" s="111" t="s">
        <v>129</v>
      </c>
      <c r="E160" s="109">
        <v>0.09</v>
      </c>
      <c r="F160" s="182" t="s">
        <v>21</v>
      </c>
      <c r="G160" s="126" t="s">
        <v>313</v>
      </c>
      <c r="H160" s="109">
        <f>E160*15329</f>
        <v>1379.61</v>
      </c>
      <c r="I160" s="213"/>
      <c r="J160" s="168"/>
      <c r="K160" s="169"/>
      <c r="L160" s="168"/>
      <c r="M160" s="170"/>
      <c r="N160" s="171"/>
      <c r="O160" s="168"/>
      <c r="P160" s="172"/>
    </row>
    <row r="161" spans="1:16" s="173" customFormat="1">
      <c r="A161" s="162"/>
      <c r="B161" s="183" t="s">
        <v>310</v>
      </c>
      <c r="C161" s="184"/>
      <c r="D161" s="185"/>
      <c r="E161" s="184"/>
      <c r="F161" s="186"/>
      <c r="G161" s="187"/>
      <c r="H161" s="188">
        <f>H158+H159+H160</f>
        <v>2813.9379577133323</v>
      </c>
      <c r="I161" s="213">
        <v>1934.36</v>
      </c>
      <c r="J161" s="168"/>
      <c r="K161" s="169"/>
      <c r="L161" s="168"/>
      <c r="M161" s="170"/>
      <c r="N161" s="171"/>
      <c r="O161" s="168"/>
      <c r="P161" s="172"/>
    </row>
    <row r="162" spans="1:16" s="173" customFormat="1" ht="45">
      <c r="A162" s="162"/>
      <c r="B162" s="106" t="s">
        <v>409</v>
      </c>
      <c r="C162" s="184"/>
      <c r="D162" s="185"/>
      <c r="E162" s="184"/>
      <c r="F162" s="186"/>
      <c r="G162" s="187"/>
      <c r="H162" s="188"/>
      <c r="I162" s="213"/>
      <c r="J162" s="168"/>
      <c r="K162" s="169"/>
      <c r="L162" s="168"/>
      <c r="M162" s="170"/>
      <c r="N162" s="171"/>
      <c r="O162" s="168"/>
      <c r="P162" s="172"/>
    </row>
    <row r="163" spans="1:16" s="173" customFormat="1" ht="60">
      <c r="A163" s="162"/>
      <c r="B163" s="119" t="s">
        <v>314</v>
      </c>
      <c r="C163" s="109">
        <v>0.4</v>
      </c>
      <c r="D163" s="111" t="s">
        <v>351</v>
      </c>
      <c r="E163" s="109">
        <v>0.7</v>
      </c>
      <c r="F163" s="113" t="s">
        <v>21</v>
      </c>
      <c r="G163" s="126" t="s">
        <v>347</v>
      </c>
      <c r="H163" s="141">
        <f>(722*E163)*1.06*1.05*1.051*1.051*1.054*1.049*1.047</f>
        <v>719.28104351948048</v>
      </c>
      <c r="I163" s="213"/>
      <c r="J163" s="168"/>
      <c r="K163" s="169"/>
      <c r="L163" s="168"/>
      <c r="M163" s="170"/>
      <c r="N163" s="171"/>
      <c r="O163" s="168"/>
      <c r="P163" s="172"/>
    </row>
    <row r="164" spans="1:16" s="173" customFormat="1">
      <c r="A164" s="162"/>
      <c r="B164" s="180" t="s">
        <v>112</v>
      </c>
      <c r="C164" s="109">
        <v>0.4</v>
      </c>
      <c r="D164" s="111">
        <v>1</v>
      </c>
      <c r="E164" s="109">
        <f>E163*0.9</f>
        <v>0.63</v>
      </c>
      <c r="F164" s="113" t="s">
        <v>21</v>
      </c>
      <c r="G164" s="126" t="s">
        <v>312</v>
      </c>
      <c r="H164" s="141">
        <f>E164*1338*1.05*1.051*1.051*1.054*1.049*1.047</f>
        <v>1131.75956803188</v>
      </c>
      <c r="I164" s="213"/>
      <c r="J164" s="168"/>
      <c r="K164" s="169"/>
      <c r="L164" s="168"/>
      <c r="M164" s="170"/>
      <c r="N164" s="171"/>
      <c r="O164" s="168"/>
      <c r="P164" s="172"/>
    </row>
    <row r="165" spans="1:16" s="173" customFormat="1" ht="60">
      <c r="A165" s="162"/>
      <c r="B165" s="181" t="s">
        <v>20</v>
      </c>
      <c r="C165" s="109">
        <v>0.4</v>
      </c>
      <c r="D165" s="111" t="s">
        <v>129</v>
      </c>
      <c r="E165" s="109">
        <f>E163-E164</f>
        <v>6.9999999999999951E-2</v>
      </c>
      <c r="F165" s="182" t="s">
        <v>21</v>
      </c>
      <c r="G165" s="126" t="s">
        <v>313</v>
      </c>
      <c r="H165" s="109">
        <f>E165*15329</f>
        <v>1073.0299999999993</v>
      </c>
      <c r="I165" s="213"/>
      <c r="J165" s="168"/>
      <c r="K165" s="169"/>
      <c r="L165" s="168"/>
      <c r="M165" s="170"/>
      <c r="N165" s="171"/>
      <c r="O165" s="168"/>
      <c r="P165" s="172"/>
    </row>
    <row r="166" spans="1:16" s="173" customFormat="1">
      <c r="A166" s="162"/>
      <c r="B166" s="183" t="s">
        <v>310</v>
      </c>
      <c r="C166" s="184"/>
      <c r="D166" s="185"/>
      <c r="E166" s="184"/>
      <c r="F166" s="186"/>
      <c r="G166" s="187"/>
      <c r="H166" s="188">
        <f>H163+H164+H165</f>
        <v>2924.0706115513599</v>
      </c>
      <c r="I166" s="193">
        <v>2622.4659999999999</v>
      </c>
      <c r="J166" s="168"/>
      <c r="K166" s="169"/>
      <c r="L166" s="168"/>
      <c r="M166" s="170"/>
      <c r="N166" s="171"/>
      <c r="O166" s="168"/>
      <c r="P166" s="172"/>
    </row>
    <row r="167" spans="1:16" s="173" customFormat="1">
      <c r="A167" s="162"/>
      <c r="B167" s="137" t="s">
        <v>413</v>
      </c>
      <c r="C167" s="195"/>
      <c r="D167" s="196"/>
      <c r="E167" s="195"/>
      <c r="F167" s="197"/>
      <c r="G167" s="198"/>
      <c r="H167" s="199"/>
      <c r="I167" s="213"/>
      <c r="J167" s="168"/>
      <c r="K167" s="169"/>
      <c r="L167" s="168"/>
      <c r="M167" s="170"/>
      <c r="N167" s="171"/>
      <c r="O167" s="168"/>
      <c r="P167" s="172"/>
    </row>
    <row r="168" spans="1:16" s="173" customFormat="1" ht="57">
      <c r="A168" s="162"/>
      <c r="B168" s="216" t="s">
        <v>414</v>
      </c>
      <c r="C168" s="195"/>
      <c r="D168" s="196"/>
      <c r="E168" s="195"/>
      <c r="F168" s="197"/>
      <c r="G168" s="198"/>
      <c r="H168" s="199"/>
      <c r="I168" s="213"/>
      <c r="J168" s="168"/>
      <c r="K168" s="169"/>
      <c r="L168" s="168"/>
      <c r="M168" s="170"/>
      <c r="N168" s="171"/>
      <c r="O168" s="168"/>
      <c r="P168" s="172"/>
    </row>
    <row r="169" spans="1:16" s="173" customFormat="1" ht="45">
      <c r="A169" s="162"/>
      <c r="B169" s="217" t="s">
        <v>415</v>
      </c>
      <c r="C169" s="195"/>
      <c r="D169" s="196"/>
      <c r="E169" s="195"/>
      <c r="F169" s="197"/>
      <c r="G169" s="198"/>
      <c r="H169" s="199"/>
      <c r="I169" s="213"/>
      <c r="J169" s="168"/>
      <c r="K169" s="169"/>
      <c r="L169" s="168"/>
      <c r="M169" s="170"/>
      <c r="N169" s="171"/>
      <c r="O169" s="168"/>
      <c r="P169" s="172"/>
    </row>
    <row r="170" spans="1:16" s="173" customFormat="1" ht="60">
      <c r="A170" s="162"/>
      <c r="B170" s="119" t="s">
        <v>314</v>
      </c>
      <c r="C170" s="109">
        <v>0.4</v>
      </c>
      <c r="D170" s="111" t="s">
        <v>351</v>
      </c>
      <c r="E170" s="109">
        <v>0.32</v>
      </c>
      <c r="F170" s="113" t="s">
        <v>21</v>
      </c>
      <c r="G170" s="126" t="s">
        <v>347</v>
      </c>
      <c r="H170" s="141">
        <f>(722*E170)*1.06*1.05*1.051*1.051*1.054*1.049*1.047</f>
        <v>328.81419132319098</v>
      </c>
      <c r="I170" s="213"/>
      <c r="J170" s="168"/>
      <c r="K170" s="169"/>
      <c r="L170" s="168"/>
      <c r="M170" s="170"/>
      <c r="N170" s="171"/>
      <c r="O170" s="168"/>
      <c r="P170" s="172"/>
    </row>
    <row r="171" spans="1:16" s="173" customFormat="1">
      <c r="A171" s="162"/>
      <c r="B171" s="180" t="s">
        <v>112</v>
      </c>
      <c r="C171" s="109">
        <v>0.4</v>
      </c>
      <c r="D171" s="111">
        <v>1</v>
      </c>
      <c r="E171" s="109">
        <f>E170*0.5</f>
        <v>0.16</v>
      </c>
      <c r="F171" s="113" t="s">
        <v>21</v>
      </c>
      <c r="G171" s="126" t="s">
        <v>312</v>
      </c>
      <c r="H171" s="141">
        <f>E171*1338*1.05*1.051*1.051*1.054*1.049*1.047</f>
        <v>287.43100140492186</v>
      </c>
      <c r="I171" s="213"/>
      <c r="J171" s="168"/>
      <c r="K171" s="169"/>
      <c r="L171" s="168"/>
      <c r="M171" s="170"/>
      <c r="N171" s="171"/>
      <c r="O171" s="168"/>
      <c r="P171" s="172"/>
    </row>
    <row r="172" spans="1:16" s="173" customFormat="1" ht="60">
      <c r="A172" s="162"/>
      <c r="B172" s="181" t="s">
        <v>20</v>
      </c>
      <c r="C172" s="109">
        <v>0.4</v>
      </c>
      <c r="D172" s="111" t="s">
        <v>129</v>
      </c>
      <c r="E172" s="109">
        <f>E170-E171</f>
        <v>0.16</v>
      </c>
      <c r="F172" s="182" t="s">
        <v>21</v>
      </c>
      <c r="G172" s="126" t="s">
        <v>313</v>
      </c>
      <c r="H172" s="109">
        <f>E172*15329</f>
        <v>2452.64</v>
      </c>
      <c r="I172" s="213"/>
      <c r="J172" s="168"/>
      <c r="K172" s="169"/>
      <c r="L172" s="168"/>
      <c r="M172" s="170"/>
      <c r="N172" s="171"/>
      <c r="O172" s="168"/>
      <c r="P172" s="172"/>
    </row>
    <row r="173" spans="1:16" s="173" customFormat="1">
      <c r="A173" s="162"/>
      <c r="B173" s="183" t="s">
        <v>310</v>
      </c>
      <c r="C173" s="184"/>
      <c r="D173" s="185"/>
      <c r="E173" s="184"/>
      <c r="F173" s="186"/>
      <c r="G173" s="187"/>
      <c r="H173" s="188">
        <f>H170+H171+H172</f>
        <v>3068.885192728113</v>
      </c>
      <c r="I173" s="218">
        <v>2113.0269328082049</v>
      </c>
      <c r="J173" s="168"/>
      <c r="K173" s="169"/>
      <c r="L173" s="168"/>
      <c r="M173" s="170"/>
      <c r="N173" s="171"/>
      <c r="O173" s="168"/>
      <c r="P173" s="172"/>
    </row>
    <row r="174" spans="1:16" s="173" customFormat="1" ht="60">
      <c r="A174" s="162"/>
      <c r="B174" s="217" t="s">
        <v>416</v>
      </c>
      <c r="C174" s="195"/>
      <c r="D174" s="196"/>
      <c r="E174" s="195"/>
      <c r="F174" s="197"/>
      <c r="G174" s="198"/>
      <c r="H174" s="199"/>
      <c r="I174" s="213"/>
      <c r="J174" s="168"/>
      <c r="K174" s="169"/>
      <c r="L174" s="168"/>
      <c r="M174" s="170"/>
      <c r="N174" s="171"/>
      <c r="O174" s="168"/>
      <c r="P174" s="172"/>
    </row>
    <row r="175" spans="1:16" s="173" customFormat="1" ht="60">
      <c r="A175" s="162"/>
      <c r="B175" s="181" t="s">
        <v>20</v>
      </c>
      <c r="C175" s="109">
        <v>0.4</v>
      </c>
      <c r="D175" s="111" t="s">
        <v>129</v>
      </c>
      <c r="E175" s="109">
        <v>0.13</v>
      </c>
      <c r="F175" s="182" t="s">
        <v>21</v>
      </c>
      <c r="G175" s="126" t="s">
        <v>313</v>
      </c>
      <c r="H175" s="109">
        <f>E175*15329</f>
        <v>1992.77</v>
      </c>
      <c r="I175" s="213"/>
      <c r="J175" s="168"/>
      <c r="K175" s="169"/>
      <c r="L175" s="168"/>
      <c r="M175" s="170"/>
      <c r="N175" s="171"/>
      <c r="O175" s="168"/>
      <c r="P175" s="172"/>
    </row>
    <row r="176" spans="1:16" s="173" customFormat="1">
      <c r="A176" s="162"/>
      <c r="B176" s="137" t="s">
        <v>310</v>
      </c>
      <c r="C176" s="195"/>
      <c r="D176" s="196"/>
      <c r="E176" s="195"/>
      <c r="F176" s="197"/>
      <c r="G176" s="198"/>
      <c r="H176" s="199">
        <f>H175</f>
        <v>1992.77</v>
      </c>
      <c r="I176" s="218">
        <v>1095.7156525911607</v>
      </c>
      <c r="J176" s="168"/>
      <c r="K176" s="169"/>
      <c r="L176" s="168"/>
      <c r="M176" s="170"/>
      <c r="N176" s="171"/>
      <c r="O176" s="168"/>
      <c r="P176" s="172"/>
    </row>
    <row r="177" spans="1:16" s="173" customFormat="1" ht="45">
      <c r="A177" s="162"/>
      <c r="B177" s="217" t="s">
        <v>417</v>
      </c>
      <c r="C177" s="195"/>
      <c r="D177" s="196"/>
      <c r="E177" s="195"/>
      <c r="F177" s="197"/>
      <c r="G177" s="198"/>
      <c r="H177" s="199"/>
      <c r="I177" s="213"/>
      <c r="J177" s="168"/>
      <c r="K177" s="169"/>
      <c r="L177" s="168"/>
      <c r="M177" s="170"/>
      <c r="N177" s="171"/>
      <c r="O177" s="168"/>
      <c r="P177" s="172"/>
    </row>
    <row r="178" spans="1:16" s="173" customFormat="1" ht="60">
      <c r="A178" s="162"/>
      <c r="B178" s="119" t="s">
        <v>314</v>
      </c>
      <c r="C178" s="109">
        <v>0.4</v>
      </c>
      <c r="D178" s="111" t="s">
        <v>389</v>
      </c>
      <c r="E178" s="109">
        <v>0.08</v>
      </c>
      <c r="F178" s="113" t="s">
        <v>21</v>
      </c>
      <c r="G178" s="126" t="s">
        <v>390</v>
      </c>
      <c r="H178" s="141">
        <f>(448*E178)*1.06*1.05*1.051*1.051*1.054*1.049*1.047</f>
        <v>51.007187573680618</v>
      </c>
      <c r="I178" s="213"/>
      <c r="J178" s="168"/>
      <c r="K178" s="169"/>
      <c r="L178" s="168"/>
      <c r="M178" s="170"/>
      <c r="N178" s="171"/>
      <c r="O178" s="168"/>
      <c r="P178" s="172"/>
    </row>
    <row r="179" spans="1:16" s="173" customFormat="1">
      <c r="A179" s="162"/>
      <c r="B179" s="180" t="s">
        <v>112</v>
      </c>
      <c r="C179" s="109">
        <v>0.4</v>
      </c>
      <c r="D179" s="111">
        <v>1</v>
      </c>
      <c r="E179" s="109">
        <f>E178*0.5</f>
        <v>0.04</v>
      </c>
      <c r="F179" s="113" t="s">
        <v>21</v>
      </c>
      <c r="G179" s="126" t="s">
        <v>312</v>
      </c>
      <c r="H179" s="141">
        <f>E179*1338*1.05*1.051*1.051*1.054*1.049*1.047</f>
        <v>71.857750351230465</v>
      </c>
      <c r="I179" s="213"/>
      <c r="J179" s="168"/>
      <c r="K179" s="169"/>
      <c r="L179" s="168"/>
      <c r="M179" s="170"/>
      <c r="N179" s="171"/>
      <c r="O179" s="168"/>
      <c r="P179" s="172"/>
    </row>
    <row r="180" spans="1:16" s="173" customFormat="1" ht="60">
      <c r="A180" s="162"/>
      <c r="B180" s="181" t="s">
        <v>20</v>
      </c>
      <c r="C180" s="109">
        <v>0.4</v>
      </c>
      <c r="D180" s="111" t="s">
        <v>129</v>
      </c>
      <c r="E180" s="109">
        <f>E178-E179</f>
        <v>0.04</v>
      </c>
      <c r="F180" s="182" t="s">
        <v>21</v>
      </c>
      <c r="G180" s="126" t="s">
        <v>313</v>
      </c>
      <c r="H180" s="109">
        <f>E180*15329</f>
        <v>613.16</v>
      </c>
      <c r="I180" s="213"/>
      <c r="J180" s="168"/>
      <c r="K180" s="169"/>
      <c r="L180" s="168"/>
      <c r="M180" s="170"/>
      <c r="N180" s="171"/>
      <c r="O180" s="168"/>
      <c r="P180" s="172"/>
    </row>
    <row r="181" spans="1:16" s="173" customFormat="1">
      <c r="A181" s="162"/>
      <c r="B181" s="183" t="s">
        <v>310</v>
      </c>
      <c r="C181" s="184"/>
      <c r="D181" s="185"/>
      <c r="E181" s="184"/>
      <c r="F181" s="186"/>
      <c r="G181" s="187"/>
      <c r="H181" s="188">
        <f>H178+H179+H180</f>
        <v>736.024937924911</v>
      </c>
      <c r="I181" s="218">
        <v>377.11166353309932</v>
      </c>
      <c r="J181" s="168"/>
      <c r="K181" s="169"/>
      <c r="L181" s="168"/>
      <c r="M181" s="170"/>
      <c r="N181" s="171"/>
      <c r="O181" s="168"/>
      <c r="P181" s="172"/>
    </row>
    <row r="182" spans="1:16" s="173" customFormat="1" ht="57">
      <c r="A182" s="162"/>
      <c r="B182" s="190" t="s">
        <v>418</v>
      </c>
      <c r="C182" s="195"/>
      <c r="D182" s="196"/>
      <c r="E182" s="195"/>
      <c r="F182" s="197"/>
      <c r="G182" s="198"/>
      <c r="H182" s="199"/>
      <c r="I182" s="213"/>
      <c r="J182" s="168"/>
      <c r="K182" s="169"/>
      <c r="L182" s="168"/>
      <c r="M182" s="170"/>
      <c r="N182" s="171"/>
      <c r="O182" s="168"/>
      <c r="P182" s="172"/>
    </row>
    <row r="183" spans="1:16" s="173" customFormat="1" ht="45">
      <c r="A183" s="162"/>
      <c r="B183" s="191" t="s">
        <v>419</v>
      </c>
      <c r="C183" s="195"/>
      <c r="D183" s="196"/>
      <c r="E183" s="195"/>
      <c r="F183" s="197"/>
      <c r="G183" s="198"/>
      <c r="H183" s="199"/>
      <c r="I183" s="213"/>
      <c r="J183" s="168"/>
      <c r="K183" s="169"/>
      <c r="L183" s="168"/>
      <c r="M183" s="170"/>
      <c r="N183" s="171"/>
      <c r="O183" s="168"/>
      <c r="P183" s="172"/>
    </row>
    <row r="184" spans="1:16" s="173" customFormat="1" ht="60">
      <c r="A184" s="162"/>
      <c r="B184" s="119" t="s">
        <v>314</v>
      </c>
      <c r="C184" s="109">
        <v>0.4</v>
      </c>
      <c r="D184" s="111" t="s">
        <v>351</v>
      </c>
      <c r="E184" s="109">
        <v>0.16</v>
      </c>
      <c r="F184" s="113" t="s">
        <v>21</v>
      </c>
      <c r="G184" s="126" t="s">
        <v>347</v>
      </c>
      <c r="H184" s="141">
        <f>(722*E184)*1.06*1.05*1.051*1.051*1.054*1.049*1.047</f>
        <v>164.40709566159549</v>
      </c>
      <c r="I184" s="213"/>
      <c r="J184" s="168"/>
      <c r="K184" s="169"/>
      <c r="L184" s="168"/>
      <c r="M184" s="170"/>
      <c r="N184" s="171"/>
      <c r="O184" s="168"/>
      <c r="P184" s="172"/>
    </row>
    <row r="185" spans="1:16" s="173" customFormat="1">
      <c r="A185" s="162"/>
      <c r="B185" s="180" t="s">
        <v>112</v>
      </c>
      <c r="C185" s="109">
        <v>0.4</v>
      </c>
      <c r="D185" s="111">
        <v>1</v>
      </c>
      <c r="E185" s="109">
        <f>E184*0.5</f>
        <v>0.08</v>
      </c>
      <c r="F185" s="113" t="s">
        <v>21</v>
      </c>
      <c r="G185" s="126" t="s">
        <v>312</v>
      </c>
      <c r="H185" s="141">
        <f>E185*1338*1.05*1.051*1.051*1.054*1.049*1.047</f>
        <v>143.71550070246093</v>
      </c>
      <c r="I185" s="213"/>
      <c r="J185" s="168"/>
      <c r="K185" s="169"/>
      <c r="L185" s="168"/>
      <c r="M185" s="170"/>
      <c r="N185" s="171"/>
      <c r="O185" s="168"/>
      <c r="P185" s="172"/>
    </row>
    <row r="186" spans="1:16" s="173" customFormat="1" ht="60">
      <c r="A186" s="162"/>
      <c r="B186" s="181" t="s">
        <v>20</v>
      </c>
      <c r="C186" s="109">
        <v>0.4</v>
      </c>
      <c r="D186" s="111" t="s">
        <v>129</v>
      </c>
      <c r="E186" s="109">
        <f>E184-E185</f>
        <v>0.08</v>
      </c>
      <c r="F186" s="182" t="s">
        <v>21</v>
      </c>
      <c r="G186" s="126" t="s">
        <v>313</v>
      </c>
      <c r="H186" s="109">
        <f>E186*15329</f>
        <v>1226.32</v>
      </c>
      <c r="I186" s="213"/>
      <c r="J186" s="168"/>
      <c r="K186" s="169"/>
      <c r="L186" s="168"/>
      <c r="M186" s="170"/>
      <c r="N186" s="171"/>
      <c r="O186" s="168"/>
      <c r="P186" s="172"/>
    </row>
    <row r="187" spans="1:16" s="173" customFormat="1">
      <c r="A187" s="162"/>
      <c r="B187" s="183" t="s">
        <v>310</v>
      </c>
      <c r="C187" s="184"/>
      <c r="D187" s="185"/>
      <c r="E187" s="184"/>
      <c r="F187" s="186"/>
      <c r="G187" s="187"/>
      <c r="H187" s="188">
        <f>H184+H185+H186</f>
        <v>1534.4425963640565</v>
      </c>
      <c r="I187" s="210">
        <v>1492.95</v>
      </c>
      <c r="J187" s="168"/>
      <c r="K187" s="169"/>
      <c r="L187" s="168"/>
      <c r="M187" s="170"/>
      <c r="N187" s="171"/>
      <c r="O187" s="168"/>
      <c r="P187" s="172"/>
    </row>
    <row r="188" spans="1:16" s="173" customFormat="1" ht="57">
      <c r="A188" s="162"/>
      <c r="B188" s="190" t="s">
        <v>420</v>
      </c>
      <c r="C188" s="184"/>
      <c r="D188" s="185"/>
      <c r="E188" s="184"/>
      <c r="F188" s="186"/>
      <c r="G188" s="187"/>
      <c r="H188" s="188"/>
      <c r="I188" s="210"/>
      <c r="J188" s="168"/>
      <c r="K188" s="169"/>
      <c r="L188" s="168"/>
      <c r="M188" s="170"/>
      <c r="N188" s="171"/>
      <c r="O188" s="168"/>
      <c r="P188" s="172"/>
    </row>
    <row r="189" spans="1:16" s="173" customFormat="1" ht="60">
      <c r="A189" s="162"/>
      <c r="B189" s="179" t="s">
        <v>421</v>
      </c>
      <c r="C189" s="184"/>
      <c r="D189" s="185"/>
      <c r="E189" s="184"/>
      <c r="F189" s="186"/>
      <c r="G189" s="187"/>
      <c r="H189" s="188"/>
      <c r="I189" s="210"/>
      <c r="J189" s="168"/>
      <c r="K189" s="169"/>
      <c r="L189" s="168"/>
      <c r="M189" s="170"/>
      <c r="N189" s="171"/>
      <c r="O189" s="168"/>
      <c r="P189" s="172"/>
    </row>
    <row r="190" spans="1:16" s="173" customFormat="1" ht="60">
      <c r="A190" s="162"/>
      <c r="B190" s="119" t="s">
        <v>314</v>
      </c>
      <c r="C190" s="109">
        <v>0.4</v>
      </c>
      <c r="D190" s="111" t="s">
        <v>351</v>
      </c>
      <c r="E190" s="109">
        <v>0.42</v>
      </c>
      <c r="F190" s="113" t="s">
        <v>21</v>
      </c>
      <c r="G190" s="126" t="s">
        <v>347</v>
      </c>
      <c r="H190" s="141">
        <f>(722*E190)*1.06*1.05*1.051*1.051*1.054*1.049*1.047</f>
        <v>431.56862611168833</v>
      </c>
      <c r="I190" s="210"/>
      <c r="J190" s="168"/>
      <c r="K190" s="169"/>
      <c r="L190" s="168"/>
      <c r="M190" s="170"/>
      <c r="N190" s="171"/>
      <c r="O190" s="168"/>
      <c r="P190" s="172"/>
    </row>
    <row r="191" spans="1:16" s="173" customFormat="1">
      <c r="A191" s="162"/>
      <c r="B191" s="180" t="s">
        <v>112</v>
      </c>
      <c r="C191" s="109">
        <v>0.4</v>
      </c>
      <c r="D191" s="111">
        <v>1</v>
      </c>
      <c r="E191" s="109">
        <f>E190*0.5</f>
        <v>0.21</v>
      </c>
      <c r="F191" s="113" t="s">
        <v>21</v>
      </c>
      <c r="G191" s="126" t="s">
        <v>312</v>
      </c>
      <c r="H191" s="141">
        <f>E191*1338*1.05*1.051*1.051*1.054*1.049*1.047</f>
        <v>377.25318934395989</v>
      </c>
      <c r="I191" s="210"/>
      <c r="J191" s="168"/>
      <c r="K191" s="169"/>
      <c r="L191" s="168"/>
      <c r="M191" s="170"/>
      <c r="N191" s="171"/>
      <c r="O191" s="168"/>
      <c r="P191" s="172"/>
    </row>
    <row r="192" spans="1:16" s="173" customFormat="1" ht="60">
      <c r="A192" s="162"/>
      <c r="B192" s="181" t="s">
        <v>20</v>
      </c>
      <c r="C192" s="109">
        <v>0.4</v>
      </c>
      <c r="D192" s="111" t="s">
        <v>129</v>
      </c>
      <c r="E192" s="109">
        <f>E190-E191</f>
        <v>0.21</v>
      </c>
      <c r="F192" s="182" t="s">
        <v>21</v>
      </c>
      <c r="G192" s="126" t="s">
        <v>313</v>
      </c>
      <c r="H192" s="109">
        <f>E192*15329</f>
        <v>3219.0899999999997</v>
      </c>
      <c r="I192" s="210"/>
      <c r="J192" s="168"/>
      <c r="K192" s="169"/>
      <c r="L192" s="168"/>
      <c r="M192" s="170"/>
      <c r="N192" s="171"/>
      <c r="O192" s="168"/>
      <c r="P192" s="172"/>
    </row>
    <row r="193" spans="1:16" s="173" customFormat="1">
      <c r="A193" s="162"/>
      <c r="B193" s="183" t="s">
        <v>310</v>
      </c>
      <c r="C193" s="184"/>
      <c r="D193" s="185"/>
      <c r="E193" s="184"/>
      <c r="F193" s="186"/>
      <c r="G193" s="187"/>
      <c r="H193" s="188">
        <f>H190+H191+H192</f>
        <v>4027.9118154556481</v>
      </c>
      <c r="I193" s="210">
        <v>3919</v>
      </c>
      <c r="J193" s="168"/>
      <c r="K193" s="169"/>
      <c r="L193" s="168"/>
      <c r="M193" s="170"/>
      <c r="N193" s="171"/>
      <c r="O193" s="168"/>
      <c r="P193" s="172"/>
    </row>
    <row r="194" spans="1:16" s="12" customFormat="1" ht="57">
      <c r="A194" s="78"/>
      <c r="B194" s="216" t="s">
        <v>422</v>
      </c>
      <c r="C194" s="109"/>
      <c r="D194" s="111"/>
      <c r="E194" s="109"/>
      <c r="F194" s="182"/>
      <c r="G194" s="126"/>
      <c r="H194" s="141"/>
      <c r="I194" s="122"/>
      <c r="J194" s="96"/>
      <c r="K194" s="36"/>
      <c r="L194" s="96"/>
      <c r="M194" s="37"/>
      <c r="N194" s="16"/>
      <c r="O194" s="96"/>
      <c r="P194" s="18"/>
    </row>
    <row r="195" spans="1:16" s="12" customFormat="1" ht="50.25" customHeight="1">
      <c r="A195" s="78"/>
      <c r="B195" s="179" t="s">
        <v>423</v>
      </c>
      <c r="C195" s="109"/>
      <c r="D195" s="111"/>
      <c r="E195" s="109"/>
      <c r="F195" s="182"/>
      <c r="G195" s="126"/>
      <c r="H195" s="141"/>
      <c r="I195" s="122"/>
      <c r="J195" s="98"/>
      <c r="K195" s="36"/>
      <c r="L195" s="98"/>
      <c r="M195" s="37"/>
      <c r="N195" s="16"/>
      <c r="O195" s="98"/>
      <c r="P195" s="18"/>
    </row>
    <row r="196" spans="1:16" s="12" customFormat="1" ht="60">
      <c r="A196" s="78"/>
      <c r="B196" s="119" t="s">
        <v>314</v>
      </c>
      <c r="C196" s="109">
        <v>0.4</v>
      </c>
      <c r="D196" s="111" t="s">
        <v>351</v>
      </c>
      <c r="E196" s="109">
        <v>0.4</v>
      </c>
      <c r="F196" s="113" t="s">
        <v>21</v>
      </c>
      <c r="G196" s="126" t="s">
        <v>347</v>
      </c>
      <c r="H196" s="141">
        <f>(722*E196)*1.06*1.05*1.051*1.051*1.054*1.049*1.047</f>
        <v>411.01773915398883</v>
      </c>
      <c r="I196" s="122"/>
      <c r="J196" s="98"/>
      <c r="K196" s="36"/>
      <c r="L196" s="98"/>
      <c r="M196" s="37"/>
      <c r="N196" s="16"/>
      <c r="O196" s="98"/>
      <c r="P196" s="18"/>
    </row>
    <row r="197" spans="1:16" s="12" customFormat="1">
      <c r="A197" s="78"/>
      <c r="B197" s="180" t="s">
        <v>112</v>
      </c>
      <c r="C197" s="109">
        <v>0.4</v>
      </c>
      <c r="D197" s="111">
        <v>1</v>
      </c>
      <c r="E197" s="109">
        <f>E196*0.5</f>
        <v>0.2</v>
      </c>
      <c r="F197" s="113" t="s">
        <v>21</v>
      </c>
      <c r="G197" s="126" t="s">
        <v>312</v>
      </c>
      <c r="H197" s="141">
        <f>E197*1338*1.05*1.051*1.051*1.054*1.049*1.047</f>
        <v>359.28875175615235</v>
      </c>
      <c r="I197" s="122"/>
      <c r="J197" s="98"/>
      <c r="K197" s="36"/>
      <c r="L197" s="98"/>
      <c r="M197" s="37"/>
      <c r="N197" s="16"/>
      <c r="O197" s="98"/>
      <c r="P197" s="18"/>
    </row>
    <row r="198" spans="1:16" s="12" customFormat="1" ht="60">
      <c r="A198" s="78"/>
      <c r="B198" s="181" t="s">
        <v>20</v>
      </c>
      <c r="C198" s="109">
        <v>0.4</v>
      </c>
      <c r="D198" s="111" t="s">
        <v>129</v>
      </c>
      <c r="E198" s="109">
        <f>E196-E197</f>
        <v>0.2</v>
      </c>
      <c r="F198" s="182" t="s">
        <v>21</v>
      </c>
      <c r="G198" s="126" t="s">
        <v>313</v>
      </c>
      <c r="H198" s="109">
        <f>E198*15329</f>
        <v>3065.8</v>
      </c>
      <c r="I198" s="122"/>
      <c r="J198" s="98"/>
      <c r="K198" s="36"/>
      <c r="L198" s="98"/>
      <c r="M198" s="37"/>
      <c r="N198" s="16"/>
      <c r="O198" s="98"/>
      <c r="P198" s="18"/>
    </row>
    <row r="199" spans="1:16" s="12" customFormat="1">
      <c r="A199" s="78"/>
      <c r="B199" s="183" t="s">
        <v>310</v>
      </c>
      <c r="C199" s="184"/>
      <c r="D199" s="185"/>
      <c r="E199" s="184"/>
      <c r="F199" s="186"/>
      <c r="G199" s="187"/>
      <c r="H199" s="188">
        <f>H196+H197+H198</f>
        <v>3836.1064909101415</v>
      </c>
      <c r="I199" s="189">
        <v>3733</v>
      </c>
      <c r="J199" s="98"/>
      <c r="K199" s="36"/>
      <c r="L199" s="98"/>
      <c r="M199" s="37"/>
      <c r="N199" s="16"/>
      <c r="O199" s="98"/>
      <c r="P199" s="18"/>
    </row>
    <row r="200" spans="1:16" s="12" customFormat="1" ht="57">
      <c r="A200" s="78"/>
      <c r="B200" s="190" t="s">
        <v>424</v>
      </c>
      <c r="C200" s="109"/>
      <c r="D200" s="111"/>
      <c r="E200" s="109"/>
      <c r="F200" s="182"/>
      <c r="G200" s="126"/>
      <c r="H200" s="141"/>
      <c r="I200" s="122"/>
      <c r="J200" s="98"/>
      <c r="K200" s="36"/>
      <c r="L200" s="98"/>
      <c r="M200" s="37"/>
      <c r="N200" s="16"/>
      <c r="O200" s="98"/>
      <c r="P200" s="18"/>
    </row>
    <row r="201" spans="1:16" s="12" customFormat="1" ht="30">
      <c r="A201" s="78"/>
      <c r="B201" s="191" t="s">
        <v>425</v>
      </c>
      <c r="C201" s="109"/>
      <c r="D201" s="111"/>
      <c r="E201" s="109"/>
      <c r="F201" s="182"/>
      <c r="G201" s="126"/>
      <c r="H201" s="141"/>
      <c r="I201" s="122"/>
      <c r="J201" s="98"/>
      <c r="K201" s="36"/>
      <c r="L201" s="98"/>
      <c r="M201" s="37"/>
      <c r="N201" s="16"/>
      <c r="O201" s="98"/>
      <c r="P201" s="18"/>
    </row>
    <row r="202" spans="1:16" s="12" customFormat="1" ht="60">
      <c r="A202" s="78"/>
      <c r="B202" s="119" t="s">
        <v>314</v>
      </c>
      <c r="C202" s="109">
        <v>0.4</v>
      </c>
      <c r="D202" s="111" t="s">
        <v>351</v>
      </c>
      <c r="E202" s="109">
        <v>0.1</v>
      </c>
      <c r="F202" s="113" t="s">
        <v>21</v>
      </c>
      <c r="G202" s="126" t="s">
        <v>347</v>
      </c>
      <c r="H202" s="141">
        <f>(722*E202)*1.06*1.05*1.051*1.051*1.054*1.049*1.047</f>
        <v>102.75443478849721</v>
      </c>
      <c r="I202" s="122"/>
      <c r="J202" s="98"/>
      <c r="K202" s="36"/>
      <c r="L202" s="98"/>
      <c r="M202" s="37"/>
      <c r="N202" s="16"/>
      <c r="O202" s="98"/>
      <c r="P202" s="18"/>
    </row>
    <row r="203" spans="1:16" s="12" customFormat="1">
      <c r="A203" s="78"/>
      <c r="B203" s="180" t="s">
        <v>112</v>
      </c>
      <c r="C203" s="109">
        <v>0.4</v>
      </c>
      <c r="D203" s="111">
        <v>1</v>
      </c>
      <c r="E203" s="109">
        <f>E202*0.5</f>
        <v>0.05</v>
      </c>
      <c r="F203" s="113" t="s">
        <v>21</v>
      </c>
      <c r="G203" s="126" t="s">
        <v>312</v>
      </c>
      <c r="H203" s="141">
        <f>E203*1338*1.05*1.051*1.051*1.054*1.049*1.047</f>
        <v>89.822187939038088</v>
      </c>
      <c r="I203" s="122"/>
      <c r="J203" s="98"/>
      <c r="K203" s="36"/>
      <c r="L203" s="98"/>
      <c r="M203" s="37"/>
      <c r="N203" s="16"/>
      <c r="O203" s="98"/>
      <c r="P203" s="18"/>
    </row>
    <row r="204" spans="1:16" s="12" customFormat="1" ht="60">
      <c r="A204" s="78"/>
      <c r="B204" s="181" t="s">
        <v>20</v>
      </c>
      <c r="C204" s="109">
        <v>0.4</v>
      </c>
      <c r="D204" s="111" t="s">
        <v>129</v>
      </c>
      <c r="E204" s="109">
        <f>E202-E203</f>
        <v>0.05</v>
      </c>
      <c r="F204" s="182" t="s">
        <v>21</v>
      </c>
      <c r="G204" s="126" t="s">
        <v>313</v>
      </c>
      <c r="H204" s="109">
        <f>E204*15329</f>
        <v>766.45</v>
      </c>
      <c r="I204" s="122"/>
      <c r="J204" s="98"/>
      <c r="K204" s="36"/>
      <c r="L204" s="98"/>
      <c r="M204" s="37"/>
      <c r="N204" s="16"/>
      <c r="O204" s="98"/>
      <c r="P204" s="18"/>
    </row>
    <row r="205" spans="1:16" s="12" customFormat="1">
      <c r="A205" s="78"/>
      <c r="B205" s="183" t="s">
        <v>310</v>
      </c>
      <c r="C205" s="184"/>
      <c r="D205" s="185"/>
      <c r="E205" s="184"/>
      <c r="F205" s="186"/>
      <c r="G205" s="187"/>
      <c r="H205" s="188">
        <f>H202+H203+H204</f>
        <v>959.02662272753537</v>
      </c>
      <c r="I205" s="219">
        <v>932.83648802587311</v>
      </c>
      <c r="J205" s="98"/>
      <c r="K205" s="36"/>
      <c r="L205" s="98"/>
      <c r="M205" s="37"/>
      <c r="N205" s="16"/>
      <c r="O205" s="98"/>
      <c r="P205" s="18"/>
    </row>
    <row r="206" spans="1:16" s="12" customFormat="1" ht="60.75" customHeight="1">
      <c r="A206" s="78"/>
      <c r="B206" s="125" t="s">
        <v>426</v>
      </c>
      <c r="C206" s="109"/>
      <c r="D206" s="111"/>
      <c r="E206" s="109"/>
      <c r="F206" s="182"/>
      <c r="G206" s="126"/>
      <c r="H206" s="141"/>
      <c r="I206" s="122"/>
      <c r="J206" s="98"/>
      <c r="K206" s="36"/>
      <c r="L206" s="98"/>
      <c r="M206" s="37"/>
      <c r="N206" s="16"/>
      <c r="O206" s="98"/>
      <c r="P206" s="18"/>
    </row>
    <row r="207" spans="1:16" s="12" customFormat="1" ht="138.75" customHeight="1">
      <c r="A207" s="78"/>
      <c r="B207" s="179" t="s">
        <v>427</v>
      </c>
      <c r="C207" s="109"/>
      <c r="D207" s="111"/>
      <c r="E207" s="109"/>
      <c r="F207" s="182"/>
      <c r="G207" s="126"/>
      <c r="H207" s="141"/>
      <c r="I207" s="122"/>
      <c r="J207" s="98"/>
      <c r="K207" s="36"/>
      <c r="L207" s="98"/>
      <c r="M207" s="37"/>
      <c r="N207" s="16"/>
      <c r="O207" s="98"/>
      <c r="P207" s="18"/>
    </row>
    <row r="208" spans="1:16" s="12" customFormat="1" ht="60">
      <c r="A208" s="78"/>
      <c r="B208" s="119" t="s">
        <v>314</v>
      </c>
      <c r="C208" s="109">
        <v>0.4</v>
      </c>
      <c r="D208" s="111" t="s">
        <v>351</v>
      </c>
      <c r="E208" s="109">
        <v>0.96399999999999997</v>
      </c>
      <c r="F208" s="113" t="s">
        <v>21</v>
      </c>
      <c r="G208" s="126" t="s">
        <v>347</v>
      </c>
      <c r="H208" s="141">
        <f>(722*E208)*1.06*1.05*1.051*1.051*1.054*1.049*1.047</f>
        <v>990.55275136111288</v>
      </c>
      <c r="I208" s="122"/>
      <c r="J208" s="98"/>
      <c r="K208" s="36"/>
      <c r="L208" s="98"/>
      <c r="M208" s="37"/>
      <c r="N208" s="16"/>
      <c r="O208" s="98"/>
      <c r="P208" s="18"/>
    </row>
    <row r="209" spans="1:16" s="12" customFormat="1">
      <c r="A209" s="78"/>
      <c r="B209" s="180" t="s">
        <v>112</v>
      </c>
      <c r="C209" s="109">
        <v>0.4</v>
      </c>
      <c r="D209" s="111">
        <v>1</v>
      </c>
      <c r="E209" s="109">
        <f>E208*0.5</f>
        <v>0.48199999999999998</v>
      </c>
      <c r="F209" s="113" t="s">
        <v>21</v>
      </c>
      <c r="G209" s="126" t="s">
        <v>312</v>
      </c>
      <c r="H209" s="141">
        <f>E209*1338*1.05*1.051*1.051*1.054*1.049*1.047</f>
        <v>865.88589173232708</v>
      </c>
      <c r="I209" s="122"/>
      <c r="J209" s="98"/>
      <c r="K209" s="36"/>
      <c r="L209" s="98"/>
      <c r="M209" s="37"/>
      <c r="N209" s="16"/>
      <c r="O209" s="98"/>
      <c r="P209" s="18"/>
    </row>
    <row r="210" spans="1:16" s="12" customFormat="1" ht="60">
      <c r="A210" s="78"/>
      <c r="B210" s="181" t="s">
        <v>20</v>
      </c>
      <c r="C210" s="109">
        <v>0.4</v>
      </c>
      <c r="D210" s="111" t="s">
        <v>129</v>
      </c>
      <c r="E210" s="109">
        <f>E208-E209</f>
        <v>0.48199999999999998</v>
      </c>
      <c r="F210" s="182" t="s">
        <v>21</v>
      </c>
      <c r="G210" s="126" t="s">
        <v>313</v>
      </c>
      <c r="H210" s="109">
        <f>E210*15329</f>
        <v>7388.5779999999995</v>
      </c>
      <c r="I210" s="122"/>
      <c r="J210" s="98"/>
      <c r="K210" s="36"/>
      <c r="L210" s="98"/>
      <c r="M210" s="37"/>
      <c r="N210" s="16"/>
      <c r="O210" s="98"/>
      <c r="P210" s="18"/>
    </row>
    <row r="211" spans="1:16" s="12" customFormat="1">
      <c r="A211" s="78"/>
      <c r="B211" s="183" t="s">
        <v>310</v>
      </c>
      <c r="C211" s="184"/>
      <c r="D211" s="185"/>
      <c r="E211" s="184"/>
      <c r="F211" s="186"/>
      <c r="G211" s="187"/>
      <c r="H211" s="188">
        <f>H208+H209+H210</f>
        <v>9245.0166430934405</v>
      </c>
      <c r="I211" s="189">
        <v>8993</v>
      </c>
      <c r="J211" s="98"/>
      <c r="K211" s="36"/>
      <c r="L211" s="98"/>
      <c r="M211" s="37"/>
      <c r="N211" s="16"/>
      <c r="O211" s="98"/>
      <c r="P211" s="18"/>
    </row>
    <row r="212" spans="1:16" s="12" customFormat="1" ht="47.25" customHeight="1">
      <c r="A212" s="78"/>
      <c r="B212" s="190" t="s">
        <v>428</v>
      </c>
      <c r="C212" s="109"/>
      <c r="D212" s="111"/>
      <c r="E212" s="109"/>
      <c r="F212" s="182"/>
      <c r="G212" s="126"/>
      <c r="H212" s="141"/>
      <c r="I212" s="122"/>
      <c r="J212" s="98"/>
      <c r="K212" s="36"/>
      <c r="L212" s="98"/>
      <c r="M212" s="37"/>
      <c r="N212" s="16"/>
      <c r="O212" s="98"/>
      <c r="P212" s="18"/>
    </row>
    <row r="213" spans="1:16" s="12" customFormat="1">
      <c r="A213" s="78"/>
      <c r="B213" s="191" t="s">
        <v>429</v>
      </c>
      <c r="C213" s="109"/>
      <c r="D213" s="111"/>
      <c r="E213" s="109"/>
      <c r="F213" s="182"/>
      <c r="G213" s="126"/>
      <c r="H213" s="141"/>
      <c r="I213" s="122"/>
      <c r="J213" s="98"/>
      <c r="K213" s="36"/>
      <c r="L213" s="98"/>
      <c r="M213" s="37"/>
      <c r="N213" s="16"/>
      <c r="O213" s="98"/>
      <c r="P213" s="18"/>
    </row>
    <row r="214" spans="1:16" s="12" customFormat="1">
      <c r="A214" s="78"/>
      <c r="B214" s="191" t="s">
        <v>430</v>
      </c>
      <c r="C214" s="109"/>
      <c r="D214" s="111"/>
      <c r="E214" s="109"/>
      <c r="F214" s="182"/>
      <c r="G214" s="126"/>
      <c r="H214" s="141"/>
      <c r="I214" s="122"/>
      <c r="J214" s="98"/>
      <c r="K214" s="36"/>
      <c r="L214" s="98"/>
      <c r="M214" s="37"/>
      <c r="N214" s="16"/>
      <c r="O214" s="98"/>
      <c r="P214" s="18"/>
    </row>
    <row r="215" spans="1:16" s="12" customFormat="1">
      <c r="A215" s="78"/>
      <c r="B215" s="191" t="s">
        <v>431</v>
      </c>
      <c r="C215" s="109"/>
      <c r="D215" s="111"/>
      <c r="E215" s="109"/>
      <c r="F215" s="182"/>
      <c r="G215" s="126"/>
      <c r="H215" s="141"/>
      <c r="I215" s="122"/>
      <c r="J215" s="98"/>
      <c r="K215" s="36"/>
      <c r="L215" s="98"/>
      <c r="M215" s="37"/>
      <c r="N215" s="16"/>
      <c r="O215" s="98"/>
      <c r="P215" s="18"/>
    </row>
    <row r="216" spans="1:16" s="12" customFormat="1" ht="30">
      <c r="A216" s="78"/>
      <c r="B216" s="191" t="s">
        <v>432</v>
      </c>
      <c r="C216" s="109"/>
      <c r="D216" s="111"/>
      <c r="E216" s="109"/>
      <c r="F216" s="182"/>
      <c r="G216" s="126"/>
      <c r="H216" s="141"/>
      <c r="I216" s="122"/>
      <c r="J216" s="98"/>
      <c r="K216" s="36"/>
      <c r="L216" s="98"/>
      <c r="M216" s="37"/>
      <c r="N216" s="16"/>
      <c r="O216" s="98"/>
      <c r="P216" s="18"/>
    </row>
    <row r="217" spans="1:16" s="12" customFormat="1" ht="60">
      <c r="A217" s="78"/>
      <c r="B217" s="119" t="s">
        <v>314</v>
      </c>
      <c r="C217" s="109">
        <v>0.4</v>
      </c>
      <c r="D217" s="111" t="s">
        <v>389</v>
      </c>
      <c r="E217" s="109">
        <v>0.36</v>
      </c>
      <c r="F217" s="113" t="s">
        <v>21</v>
      </c>
      <c r="G217" s="126" t="s">
        <v>390</v>
      </c>
      <c r="H217" s="141">
        <f>(448*E217)*1.06*1.05*1.051*1.051*1.054*1.049*1.047</f>
        <v>229.53234408156268</v>
      </c>
      <c r="I217" s="122"/>
      <c r="J217" s="98"/>
      <c r="K217" s="36"/>
      <c r="L217" s="98"/>
      <c r="M217" s="37"/>
      <c r="N217" s="16"/>
      <c r="O217" s="98"/>
      <c r="P217" s="18"/>
    </row>
    <row r="218" spans="1:16" s="12" customFormat="1">
      <c r="A218" s="78"/>
      <c r="B218" s="180" t="s">
        <v>112</v>
      </c>
      <c r="C218" s="109">
        <v>0.4</v>
      </c>
      <c r="D218" s="111">
        <v>1</v>
      </c>
      <c r="E218" s="109">
        <f>E217*0.5</f>
        <v>0.18</v>
      </c>
      <c r="F218" s="113" t="s">
        <v>21</v>
      </c>
      <c r="G218" s="126" t="s">
        <v>312</v>
      </c>
      <c r="H218" s="141">
        <f>E218*1338*1.05*1.051*1.051*1.054*1.049*1.047</f>
        <v>323.3598765805371</v>
      </c>
      <c r="I218" s="122"/>
      <c r="J218" s="98"/>
      <c r="K218" s="36"/>
      <c r="L218" s="98"/>
      <c r="M218" s="37"/>
      <c r="N218" s="16"/>
      <c r="O218" s="98"/>
      <c r="P218" s="18"/>
    </row>
    <row r="219" spans="1:16" s="12" customFormat="1" ht="60">
      <c r="A219" s="78"/>
      <c r="B219" s="181" t="s">
        <v>20</v>
      </c>
      <c r="C219" s="109">
        <v>0.4</v>
      </c>
      <c r="D219" s="111" t="s">
        <v>129</v>
      </c>
      <c r="E219" s="109">
        <f>E217-E218</f>
        <v>0.18</v>
      </c>
      <c r="F219" s="182" t="s">
        <v>21</v>
      </c>
      <c r="G219" s="126" t="s">
        <v>313</v>
      </c>
      <c r="H219" s="109">
        <f>E219*15329</f>
        <v>2759.22</v>
      </c>
      <c r="I219" s="122"/>
      <c r="J219" s="98"/>
      <c r="K219" s="36"/>
      <c r="L219" s="98"/>
      <c r="M219" s="37"/>
      <c r="N219" s="16"/>
      <c r="O219" s="98"/>
      <c r="P219" s="18"/>
    </row>
    <row r="220" spans="1:16" s="12" customFormat="1">
      <c r="A220" s="78"/>
      <c r="B220" s="183" t="s">
        <v>310</v>
      </c>
      <c r="C220" s="184"/>
      <c r="D220" s="185"/>
      <c r="E220" s="184"/>
      <c r="F220" s="186"/>
      <c r="G220" s="187"/>
      <c r="H220" s="188">
        <f>H217+H218+H219</f>
        <v>3312.1122206620994</v>
      </c>
      <c r="I220" s="189">
        <v>2846</v>
      </c>
      <c r="J220" s="98"/>
      <c r="K220" s="36"/>
      <c r="L220" s="98"/>
      <c r="M220" s="37"/>
      <c r="N220" s="16"/>
      <c r="O220" s="98"/>
      <c r="P220" s="18"/>
    </row>
    <row r="221" spans="1:16" s="12" customFormat="1" ht="30">
      <c r="A221" s="78"/>
      <c r="B221" s="179" t="s">
        <v>433</v>
      </c>
      <c r="C221" s="109"/>
      <c r="D221" s="111"/>
      <c r="E221" s="109"/>
      <c r="F221" s="182"/>
      <c r="G221" s="126"/>
      <c r="H221" s="141"/>
      <c r="I221" s="122"/>
      <c r="J221" s="98"/>
      <c r="K221" s="36"/>
      <c r="L221" s="98"/>
      <c r="M221" s="37"/>
      <c r="N221" s="16"/>
      <c r="O221" s="98"/>
      <c r="P221" s="18"/>
    </row>
    <row r="222" spans="1:16" s="12" customFormat="1" ht="60">
      <c r="A222" s="78"/>
      <c r="B222" s="119" t="s">
        <v>314</v>
      </c>
      <c r="C222" s="109">
        <v>0.4</v>
      </c>
      <c r="D222" s="111" t="s">
        <v>351</v>
      </c>
      <c r="E222" s="109">
        <v>0.129</v>
      </c>
      <c r="F222" s="113" t="s">
        <v>21</v>
      </c>
      <c r="G222" s="126" t="s">
        <v>347</v>
      </c>
      <c r="H222" s="141">
        <f>(722*E222)*1.06*1.05*1.051*1.051*1.054*1.049*1.047</f>
        <v>132.55322087716141</v>
      </c>
      <c r="I222" s="122"/>
      <c r="J222" s="98"/>
      <c r="K222" s="36"/>
      <c r="L222" s="98"/>
      <c r="M222" s="37"/>
      <c r="N222" s="16"/>
      <c r="O222" s="98"/>
      <c r="P222" s="18"/>
    </row>
    <row r="223" spans="1:16" s="12" customFormat="1">
      <c r="A223" s="78"/>
      <c r="B223" s="180" t="s">
        <v>112</v>
      </c>
      <c r="C223" s="109">
        <v>0.4</v>
      </c>
      <c r="D223" s="111">
        <v>1</v>
      </c>
      <c r="E223" s="109">
        <f>E222*0.5</f>
        <v>6.4500000000000002E-2</v>
      </c>
      <c r="F223" s="113" t="s">
        <v>21</v>
      </c>
      <c r="G223" s="126" t="s">
        <v>312</v>
      </c>
      <c r="H223" s="141">
        <f>E223*1338*1.05*1.051*1.051*1.054*1.049*1.047</f>
        <v>115.8706224413591</v>
      </c>
      <c r="I223" s="122"/>
      <c r="J223" s="98"/>
      <c r="K223" s="36"/>
      <c r="L223" s="98"/>
      <c r="M223" s="37"/>
      <c r="N223" s="16"/>
      <c r="O223" s="98"/>
      <c r="P223" s="18"/>
    </row>
    <row r="224" spans="1:16" s="12" customFormat="1" ht="60">
      <c r="A224" s="78"/>
      <c r="B224" s="181" t="s">
        <v>20</v>
      </c>
      <c r="C224" s="109">
        <v>0.4</v>
      </c>
      <c r="D224" s="111" t="s">
        <v>129</v>
      </c>
      <c r="E224" s="109">
        <f>E222-E223</f>
        <v>6.4500000000000002E-2</v>
      </c>
      <c r="F224" s="182" t="s">
        <v>21</v>
      </c>
      <c r="G224" s="126" t="s">
        <v>313</v>
      </c>
      <c r="H224" s="109">
        <f>E224*15329</f>
        <v>988.72050000000002</v>
      </c>
      <c r="I224" s="122"/>
      <c r="J224" s="98"/>
      <c r="K224" s="36"/>
      <c r="L224" s="98"/>
      <c r="M224" s="37"/>
      <c r="N224" s="16"/>
      <c r="O224" s="98"/>
      <c r="P224" s="18"/>
    </row>
    <row r="225" spans="1:16" s="12" customFormat="1">
      <c r="A225" s="78"/>
      <c r="B225" s="183" t="s">
        <v>310</v>
      </c>
      <c r="C225" s="184"/>
      <c r="D225" s="185"/>
      <c r="E225" s="184"/>
      <c r="F225" s="186"/>
      <c r="G225" s="187"/>
      <c r="H225" s="188">
        <f>H222+H223+H224</f>
        <v>1237.1443433185204</v>
      </c>
      <c r="I225" s="189">
        <v>1204</v>
      </c>
      <c r="J225" s="98"/>
      <c r="K225" s="36"/>
      <c r="L225" s="98"/>
      <c r="M225" s="37"/>
      <c r="N225" s="16"/>
      <c r="O225" s="98"/>
      <c r="P225" s="18"/>
    </row>
    <row r="226" spans="1:16" s="12" customFormat="1" ht="53.25" customHeight="1">
      <c r="A226" s="78"/>
      <c r="B226" s="125" t="s">
        <v>434</v>
      </c>
      <c r="C226" s="109"/>
      <c r="D226" s="111"/>
      <c r="E226" s="109"/>
      <c r="F226" s="182"/>
      <c r="G226" s="126"/>
      <c r="H226" s="141"/>
      <c r="I226" s="122"/>
      <c r="J226" s="98"/>
      <c r="K226" s="36"/>
      <c r="L226" s="98"/>
      <c r="M226" s="37"/>
      <c r="N226" s="16"/>
      <c r="O226" s="98"/>
      <c r="P226" s="18"/>
    </row>
    <row r="227" spans="1:16" s="12" customFormat="1">
      <c r="A227" s="78"/>
      <c r="B227" s="191" t="s">
        <v>435</v>
      </c>
      <c r="C227" s="109"/>
      <c r="D227" s="111"/>
      <c r="E227" s="109"/>
      <c r="F227" s="182"/>
      <c r="G227" s="126"/>
      <c r="H227" s="141"/>
      <c r="I227" s="122"/>
      <c r="J227" s="98"/>
      <c r="K227" s="36"/>
      <c r="L227" s="98"/>
      <c r="M227" s="37"/>
      <c r="N227" s="16"/>
      <c r="O227" s="98"/>
      <c r="P227" s="18"/>
    </row>
    <row r="228" spans="1:16" s="12" customFormat="1">
      <c r="A228" s="78"/>
      <c r="B228" s="191" t="s">
        <v>435</v>
      </c>
      <c r="C228" s="109"/>
      <c r="D228" s="111"/>
      <c r="E228" s="109"/>
      <c r="F228" s="182"/>
      <c r="G228" s="126"/>
      <c r="H228" s="141"/>
      <c r="I228" s="122"/>
      <c r="J228" s="98"/>
      <c r="K228" s="36"/>
      <c r="L228" s="98"/>
      <c r="M228" s="37"/>
      <c r="N228" s="16"/>
      <c r="O228" s="98"/>
      <c r="P228" s="18"/>
    </row>
    <row r="229" spans="1:16" s="12" customFormat="1">
      <c r="A229" s="78"/>
      <c r="B229" s="191" t="s">
        <v>436</v>
      </c>
      <c r="C229" s="109"/>
      <c r="D229" s="111"/>
      <c r="E229" s="109"/>
      <c r="F229" s="182"/>
      <c r="G229" s="126"/>
      <c r="H229" s="141"/>
      <c r="I229" s="122"/>
      <c r="J229" s="98"/>
      <c r="K229" s="36"/>
      <c r="L229" s="98"/>
      <c r="M229" s="37"/>
      <c r="N229" s="16"/>
      <c r="O229" s="98"/>
      <c r="P229" s="18"/>
    </row>
    <row r="230" spans="1:16" s="12" customFormat="1" ht="33.75" customHeight="1">
      <c r="A230" s="78"/>
      <c r="B230" s="191" t="s">
        <v>437</v>
      </c>
      <c r="C230" s="109"/>
      <c r="D230" s="111"/>
      <c r="E230" s="109"/>
      <c r="F230" s="182"/>
      <c r="G230" s="126"/>
      <c r="H230" s="141"/>
      <c r="I230" s="122"/>
      <c r="J230" s="98"/>
      <c r="K230" s="36"/>
      <c r="L230" s="98"/>
      <c r="M230" s="37"/>
      <c r="N230" s="16"/>
      <c r="O230" s="98"/>
      <c r="P230" s="18"/>
    </row>
    <row r="231" spans="1:16" s="12" customFormat="1" ht="27" customHeight="1">
      <c r="A231" s="78"/>
      <c r="B231" s="191" t="s">
        <v>437</v>
      </c>
      <c r="C231" s="109"/>
      <c r="D231" s="111"/>
      <c r="E231" s="109"/>
      <c r="F231" s="182"/>
      <c r="G231" s="126"/>
      <c r="H231" s="141"/>
      <c r="I231" s="122"/>
      <c r="J231" s="98"/>
      <c r="K231" s="36"/>
      <c r="L231" s="98"/>
      <c r="M231" s="37"/>
      <c r="N231" s="16"/>
      <c r="O231" s="98"/>
      <c r="P231" s="18"/>
    </row>
    <row r="232" spans="1:16" s="12" customFormat="1" ht="22.5" customHeight="1">
      <c r="A232" s="78"/>
      <c r="B232" s="191" t="s">
        <v>438</v>
      </c>
      <c r="C232" s="109"/>
      <c r="D232" s="111"/>
      <c r="E232" s="109"/>
      <c r="F232" s="182"/>
      <c r="G232" s="126"/>
      <c r="H232" s="141"/>
      <c r="I232" s="122"/>
      <c r="J232" s="98"/>
      <c r="K232" s="36"/>
      <c r="L232" s="98"/>
      <c r="M232" s="37"/>
      <c r="N232" s="16"/>
      <c r="O232" s="98"/>
      <c r="P232" s="18"/>
    </row>
    <row r="233" spans="1:16" s="12" customFormat="1" ht="26.25" customHeight="1">
      <c r="A233" s="78"/>
      <c r="B233" s="191" t="s">
        <v>438</v>
      </c>
      <c r="C233" s="109"/>
      <c r="D233" s="111"/>
      <c r="E233" s="109"/>
      <c r="F233" s="182"/>
      <c r="G233" s="126"/>
      <c r="H233" s="141"/>
      <c r="I233" s="122"/>
      <c r="J233" s="98"/>
      <c r="K233" s="36"/>
      <c r="L233" s="98"/>
      <c r="M233" s="37"/>
      <c r="N233" s="16"/>
      <c r="O233" s="98"/>
      <c r="P233" s="18"/>
    </row>
    <row r="234" spans="1:16" s="12" customFormat="1" ht="60">
      <c r="A234" s="78"/>
      <c r="B234" s="119" t="s">
        <v>314</v>
      </c>
      <c r="C234" s="109">
        <v>0.4</v>
      </c>
      <c r="D234" s="111" t="s">
        <v>351</v>
      </c>
      <c r="E234" s="109">
        <v>0.38900000000000001</v>
      </c>
      <c r="F234" s="113" t="s">
        <v>21</v>
      </c>
      <c r="G234" s="126" t="s">
        <v>347</v>
      </c>
      <c r="H234" s="141">
        <f>(722*E234)*1.06*1.05*1.051*1.051*1.054*1.049*1.047</f>
        <v>399.71475132725402</v>
      </c>
      <c r="I234" s="122"/>
      <c r="J234" s="98"/>
      <c r="K234" s="36"/>
      <c r="L234" s="98"/>
      <c r="M234" s="37"/>
      <c r="N234" s="16"/>
      <c r="O234" s="98"/>
      <c r="P234" s="18"/>
    </row>
    <row r="235" spans="1:16" s="12" customFormat="1">
      <c r="A235" s="78"/>
      <c r="B235" s="180" t="s">
        <v>112</v>
      </c>
      <c r="C235" s="109">
        <v>0.4</v>
      </c>
      <c r="D235" s="111">
        <v>1</v>
      </c>
      <c r="E235" s="109">
        <f>E234*0.5</f>
        <v>0.19450000000000001</v>
      </c>
      <c r="F235" s="113" t="s">
        <v>21</v>
      </c>
      <c r="G235" s="126" t="s">
        <v>312</v>
      </c>
      <c r="H235" s="141">
        <f>E235*1338*1.05*1.051*1.051*1.054*1.049*1.047</f>
        <v>349.40831108285806</v>
      </c>
      <c r="I235" s="122"/>
      <c r="J235" s="98"/>
      <c r="K235" s="36"/>
      <c r="L235" s="98"/>
      <c r="M235" s="37"/>
      <c r="N235" s="16"/>
      <c r="O235" s="98"/>
      <c r="P235" s="18"/>
    </row>
    <row r="236" spans="1:16" s="12" customFormat="1" ht="60">
      <c r="A236" s="78"/>
      <c r="B236" s="181" t="s">
        <v>20</v>
      </c>
      <c r="C236" s="109">
        <v>0.4</v>
      </c>
      <c r="D236" s="111" t="s">
        <v>129</v>
      </c>
      <c r="E236" s="109">
        <f>E234-E235</f>
        <v>0.19450000000000001</v>
      </c>
      <c r="F236" s="182" t="s">
        <v>21</v>
      </c>
      <c r="G236" s="126" t="s">
        <v>313</v>
      </c>
      <c r="H236" s="109">
        <f>E236*15329</f>
        <v>2981.4904999999999</v>
      </c>
      <c r="I236" s="122"/>
      <c r="J236" s="98"/>
      <c r="K236" s="36"/>
      <c r="L236" s="98"/>
      <c r="M236" s="37"/>
      <c r="N236" s="16"/>
      <c r="O236" s="98"/>
      <c r="P236" s="18"/>
    </row>
    <row r="237" spans="1:16" s="12" customFormat="1">
      <c r="A237" s="78"/>
      <c r="B237" s="183" t="s">
        <v>310</v>
      </c>
      <c r="C237" s="184"/>
      <c r="D237" s="185"/>
      <c r="E237" s="184"/>
      <c r="F237" s="186"/>
      <c r="G237" s="187"/>
      <c r="H237" s="188">
        <f>H234+H235+H236</f>
        <v>3730.6135624101121</v>
      </c>
      <c r="I237" s="189">
        <v>3629</v>
      </c>
      <c r="J237" s="98"/>
      <c r="K237" s="36"/>
      <c r="L237" s="98"/>
      <c r="M237" s="37"/>
      <c r="N237" s="16"/>
      <c r="O237" s="98"/>
      <c r="P237" s="18"/>
    </row>
    <row r="238" spans="1:16" s="12" customFormat="1" ht="57">
      <c r="A238" s="78"/>
      <c r="B238" s="190" t="s">
        <v>439</v>
      </c>
      <c r="C238" s="109"/>
      <c r="D238" s="111"/>
      <c r="E238" s="109"/>
      <c r="F238" s="182"/>
      <c r="G238" s="126"/>
      <c r="H238" s="141"/>
      <c r="I238" s="122"/>
      <c r="J238" s="98"/>
      <c r="K238" s="36"/>
      <c r="L238" s="98"/>
      <c r="M238" s="37"/>
      <c r="N238" s="16"/>
      <c r="O238" s="98"/>
      <c r="P238" s="18"/>
    </row>
    <row r="239" spans="1:16" s="12" customFormat="1">
      <c r="A239" s="78"/>
      <c r="B239" s="191" t="s">
        <v>440</v>
      </c>
      <c r="C239" s="109"/>
      <c r="D239" s="111"/>
      <c r="E239" s="109"/>
      <c r="F239" s="182"/>
      <c r="G239" s="126"/>
      <c r="H239" s="141"/>
      <c r="I239" s="122"/>
      <c r="J239" s="98"/>
      <c r="K239" s="36"/>
      <c r="L239" s="98"/>
      <c r="M239" s="37"/>
      <c r="N239" s="16"/>
      <c r="O239" s="98"/>
      <c r="P239" s="18"/>
    </row>
    <row r="240" spans="1:16" s="12" customFormat="1">
      <c r="A240" s="78"/>
      <c r="B240" s="191" t="s">
        <v>440</v>
      </c>
      <c r="C240" s="109"/>
      <c r="D240" s="111"/>
      <c r="E240" s="109"/>
      <c r="F240" s="182"/>
      <c r="G240" s="126"/>
      <c r="H240" s="141"/>
      <c r="I240" s="122"/>
      <c r="J240" s="98"/>
      <c r="K240" s="36"/>
      <c r="L240" s="98"/>
      <c r="M240" s="37"/>
      <c r="N240" s="16"/>
      <c r="O240" s="98"/>
      <c r="P240" s="18"/>
    </row>
    <row r="241" spans="1:16" s="12" customFormat="1">
      <c r="A241" s="78"/>
      <c r="B241" s="191" t="s">
        <v>441</v>
      </c>
      <c r="C241" s="109"/>
      <c r="D241" s="111"/>
      <c r="E241" s="109"/>
      <c r="F241" s="182"/>
      <c r="G241" s="126"/>
      <c r="H241" s="141"/>
      <c r="I241" s="122"/>
      <c r="J241" s="98"/>
      <c r="K241" s="36"/>
      <c r="L241" s="98"/>
      <c r="M241" s="37"/>
      <c r="N241" s="16"/>
      <c r="O241" s="98"/>
      <c r="P241" s="18"/>
    </row>
    <row r="242" spans="1:16" s="12" customFormat="1" ht="60">
      <c r="A242" s="78"/>
      <c r="B242" s="119" t="s">
        <v>314</v>
      </c>
      <c r="C242" s="109">
        <v>0.4</v>
      </c>
      <c r="D242" s="111" t="s">
        <v>351</v>
      </c>
      <c r="E242" s="109">
        <v>0.47299999999999998</v>
      </c>
      <c r="F242" s="113" t="s">
        <v>21</v>
      </c>
      <c r="G242" s="126" t="s">
        <v>347</v>
      </c>
      <c r="H242" s="141">
        <f>(722*E242)*1.06*1.05*1.051*1.051*1.054*1.049*1.047</f>
        <v>486.0284765495918</v>
      </c>
      <c r="I242" s="122"/>
      <c r="J242" s="98"/>
      <c r="K242" s="36"/>
      <c r="L242" s="98"/>
      <c r="M242" s="37"/>
      <c r="N242" s="16"/>
      <c r="O242" s="98"/>
      <c r="P242" s="18"/>
    </row>
    <row r="243" spans="1:16" s="12" customFormat="1">
      <c r="A243" s="78"/>
      <c r="B243" s="180" t="s">
        <v>112</v>
      </c>
      <c r="C243" s="109">
        <v>0.4</v>
      </c>
      <c r="D243" s="111">
        <v>1</v>
      </c>
      <c r="E243" s="109">
        <f>E242*0.5</f>
        <v>0.23649999999999999</v>
      </c>
      <c r="F243" s="113" t="s">
        <v>21</v>
      </c>
      <c r="G243" s="126" t="s">
        <v>312</v>
      </c>
      <c r="H243" s="141">
        <f>E243*1338*1.05*1.051*1.051*1.054*1.049*1.047</f>
        <v>424.85894895165023</v>
      </c>
      <c r="I243" s="122"/>
      <c r="J243" s="98"/>
      <c r="K243" s="36"/>
      <c r="L243" s="98"/>
      <c r="M243" s="37"/>
      <c r="N243" s="16"/>
      <c r="O243" s="98"/>
      <c r="P243" s="18"/>
    </row>
    <row r="244" spans="1:16" s="12" customFormat="1" ht="60">
      <c r="A244" s="78"/>
      <c r="B244" s="181" t="s">
        <v>20</v>
      </c>
      <c r="C244" s="109">
        <v>0.4</v>
      </c>
      <c r="D244" s="111" t="s">
        <v>129</v>
      </c>
      <c r="E244" s="109">
        <f>E242-E243</f>
        <v>0.23649999999999999</v>
      </c>
      <c r="F244" s="182" t="s">
        <v>21</v>
      </c>
      <c r="G244" s="126" t="s">
        <v>313</v>
      </c>
      <c r="H244" s="109">
        <f>E244*15329</f>
        <v>3625.3084999999996</v>
      </c>
      <c r="I244" s="122"/>
      <c r="J244" s="98"/>
      <c r="K244" s="36"/>
      <c r="L244" s="98"/>
      <c r="M244" s="37"/>
      <c r="N244" s="16"/>
      <c r="O244" s="98"/>
      <c r="P244" s="18"/>
    </row>
    <row r="245" spans="1:16" s="12" customFormat="1">
      <c r="A245" s="78"/>
      <c r="B245" s="183" t="s">
        <v>310</v>
      </c>
      <c r="C245" s="184"/>
      <c r="D245" s="185"/>
      <c r="E245" s="184"/>
      <c r="F245" s="186"/>
      <c r="G245" s="187"/>
      <c r="H245" s="188">
        <f>H242+H243+H244</f>
        <v>4536.1959255012416</v>
      </c>
      <c r="I245" s="189">
        <v>4413</v>
      </c>
      <c r="J245" s="98"/>
      <c r="K245" s="36"/>
      <c r="L245" s="98"/>
      <c r="M245" s="37"/>
      <c r="N245" s="16"/>
      <c r="O245" s="98"/>
      <c r="P245" s="18"/>
    </row>
    <row r="246" spans="1:16" s="12" customFormat="1" ht="57">
      <c r="A246" s="78"/>
      <c r="B246" s="220" t="s">
        <v>442</v>
      </c>
      <c r="C246" s="109"/>
      <c r="D246" s="111"/>
      <c r="E246" s="109"/>
      <c r="F246" s="182"/>
      <c r="G246" s="126"/>
      <c r="H246" s="141"/>
      <c r="I246" s="122"/>
      <c r="J246" s="98"/>
      <c r="K246" s="36"/>
      <c r="L246" s="98"/>
      <c r="M246" s="37"/>
      <c r="N246" s="16"/>
      <c r="O246" s="98"/>
      <c r="P246" s="18"/>
    </row>
    <row r="247" spans="1:16" s="12" customFormat="1">
      <c r="A247" s="78"/>
      <c r="B247" s="221" t="s">
        <v>443</v>
      </c>
      <c r="C247" s="109"/>
      <c r="D247" s="111"/>
      <c r="E247" s="109"/>
      <c r="F247" s="182"/>
      <c r="G247" s="126"/>
      <c r="H247" s="141"/>
      <c r="I247" s="122"/>
      <c r="J247" s="98"/>
      <c r="K247" s="36"/>
      <c r="L247" s="98"/>
      <c r="M247" s="37"/>
      <c r="N247" s="16"/>
      <c r="O247" s="98"/>
      <c r="P247" s="18"/>
    </row>
    <row r="248" spans="1:16" s="12" customFormat="1" ht="60">
      <c r="A248" s="78"/>
      <c r="B248" s="119" t="s">
        <v>314</v>
      </c>
      <c r="C248" s="109">
        <v>0.4</v>
      </c>
      <c r="D248" s="111" t="s">
        <v>351</v>
      </c>
      <c r="E248" s="109">
        <v>2.1999999999999999E-2</v>
      </c>
      <c r="F248" s="113" t="s">
        <v>21</v>
      </c>
      <c r="G248" s="126" t="s">
        <v>347</v>
      </c>
      <c r="H248" s="141">
        <f>(722*E248)*1.06*1.05*1.051*1.051*1.054*1.049*1.047</f>
        <v>22.605975653469379</v>
      </c>
      <c r="I248" s="122"/>
      <c r="J248" s="98"/>
      <c r="K248" s="36"/>
      <c r="L248" s="98"/>
      <c r="M248" s="37"/>
      <c r="N248" s="16"/>
      <c r="O248" s="98"/>
      <c r="P248" s="18"/>
    </row>
    <row r="249" spans="1:16" s="12" customFormat="1">
      <c r="A249" s="78"/>
      <c r="B249" s="180" t="s">
        <v>112</v>
      </c>
      <c r="C249" s="109">
        <v>0.4</v>
      </c>
      <c r="D249" s="111">
        <v>1</v>
      </c>
      <c r="E249" s="109">
        <f>E248*0.47</f>
        <v>1.0339999999999998E-2</v>
      </c>
      <c r="F249" s="113" t="s">
        <v>21</v>
      </c>
      <c r="G249" s="126" t="s">
        <v>312</v>
      </c>
      <c r="H249" s="141">
        <f>E249*1338*1.05*1.051*1.051*1.054*1.049*1.047</f>
        <v>18.575228465793071</v>
      </c>
      <c r="I249" s="122"/>
      <c r="J249" s="98"/>
      <c r="K249" s="36"/>
      <c r="L249" s="98"/>
      <c r="M249" s="37"/>
      <c r="N249" s="16"/>
      <c r="O249" s="98"/>
      <c r="P249" s="18"/>
    </row>
    <row r="250" spans="1:16" s="12" customFormat="1" ht="60">
      <c r="A250" s="78"/>
      <c r="B250" s="181" t="s">
        <v>20</v>
      </c>
      <c r="C250" s="109">
        <v>0.4</v>
      </c>
      <c r="D250" s="111" t="s">
        <v>129</v>
      </c>
      <c r="E250" s="109">
        <f>E248-E249</f>
        <v>1.166E-2</v>
      </c>
      <c r="F250" s="182" t="s">
        <v>21</v>
      </c>
      <c r="G250" s="126" t="s">
        <v>313</v>
      </c>
      <c r="H250" s="109">
        <f>E250*15329</f>
        <v>178.73614000000001</v>
      </c>
      <c r="I250" s="122"/>
      <c r="J250" s="98"/>
      <c r="K250" s="36"/>
      <c r="L250" s="98"/>
      <c r="M250" s="37"/>
      <c r="N250" s="16"/>
      <c r="O250" s="98"/>
      <c r="P250" s="18"/>
    </row>
    <row r="251" spans="1:16" s="12" customFormat="1">
      <c r="A251" s="78"/>
      <c r="B251" s="183" t="s">
        <v>310</v>
      </c>
      <c r="C251" s="184"/>
      <c r="D251" s="185"/>
      <c r="E251" s="184"/>
      <c r="F251" s="186"/>
      <c r="G251" s="187"/>
      <c r="H251" s="188">
        <f>H248+H249+H250</f>
        <v>219.91734411926245</v>
      </c>
      <c r="I251" s="219">
        <v>216.81226934808944</v>
      </c>
      <c r="J251" s="98"/>
      <c r="K251" s="36"/>
      <c r="L251" s="98"/>
      <c r="M251" s="37"/>
      <c r="N251" s="16"/>
      <c r="O251" s="98"/>
      <c r="P251" s="18"/>
    </row>
    <row r="252" spans="1:16" s="12" customFormat="1" ht="57">
      <c r="A252" s="78"/>
      <c r="B252" s="190" t="s">
        <v>444</v>
      </c>
      <c r="C252" s="109"/>
      <c r="D252" s="111"/>
      <c r="E252" s="109"/>
      <c r="F252" s="182"/>
      <c r="G252" s="126"/>
      <c r="H252" s="141"/>
      <c r="I252" s="122"/>
      <c r="J252" s="98"/>
      <c r="K252" s="36"/>
      <c r="L252" s="98"/>
      <c r="M252" s="37"/>
      <c r="N252" s="16"/>
      <c r="O252" s="98"/>
      <c r="P252" s="18"/>
    </row>
    <row r="253" spans="1:16" s="12" customFormat="1">
      <c r="A253" s="78"/>
      <c r="B253" s="121" t="s">
        <v>445</v>
      </c>
      <c r="C253" s="109"/>
      <c r="D253" s="111"/>
      <c r="E253" s="109"/>
      <c r="F253" s="182"/>
      <c r="G253" s="126"/>
      <c r="H253" s="141"/>
      <c r="I253" s="122"/>
      <c r="J253" s="98"/>
      <c r="K253" s="36"/>
      <c r="L253" s="98"/>
      <c r="M253" s="37"/>
      <c r="N253" s="16"/>
      <c r="O253" s="98"/>
      <c r="P253" s="18"/>
    </row>
    <row r="254" spans="1:16" s="12" customFormat="1" ht="60">
      <c r="A254" s="78"/>
      <c r="B254" s="119" t="s">
        <v>314</v>
      </c>
      <c r="C254" s="109">
        <v>0.4</v>
      </c>
      <c r="D254" s="111" t="s">
        <v>351</v>
      </c>
      <c r="E254" s="109">
        <v>0.188</v>
      </c>
      <c r="F254" s="113" t="s">
        <v>21</v>
      </c>
      <c r="G254" s="126" t="s">
        <v>347</v>
      </c>
      <c r="H254" s="141">
        <f>(722*E254)*1.06*1.05*1.051*1.051*1.054*1.049*1.047</f>
        <v>193.17833740237467</v>
      </c>
      <c r="I254" s="122"/>
      <c r="J254" s="98"/>
      <c r="K254" s="36"/>
      <c r="L254" s="98"/>
      <c r="M254" s="37"/>
      <c r="N254" s="16"/>
      <c r="O254" s="98"/>
      <c r="P254" s="18"/>
    </row>
    <row r="255" spans="1:16" s="12" customFormat="1">
      <c r="A255" s="78"/>
      <c r="B255" s="180" t="s">
        <v>112</v>
      </c>
      <c r="C255" s="109">
        <v>0.4</v>
      </c>
      <c r="D255" s="111">
        <v>1</v>
      </c>
      <c r="E255" s="109">
        <f>E254*0.47</f>
        <v>8.8359999999999994E-2</v>
      </c>
      <c r="F255" s="113" t="s">
        <v>21</v>
      </c>
      <c r="G255" s="126" t="s">
        <v>312</v>
      </c>
      <c r="H255" s="141">
        <f>E255*1338*1.05*1.051*1.051*1.054*1.049*1.047</f>
        <v>158.7337705258681</v>
      </c>
      <c r="I255" s="122"/>
      <c r="J255" s="98"/>
      <c r="K255" s="36"/>
      <c r="L255" s="98"/>
      <c r="M255" s="37"/>
      <c r="N255" s="16"/>
      <c r="O255" s="98"/>
      <c r="P255" s="18"/>
    </row>
    <row r="256" spans="1:16" s="12" customFormat="1" ht="60">
      <c r="A256" s="78"/>
      <c r="B256" s="181" t="s">
        <v>20</v>
      </c>
      <c r="C256" s="109">
        <v>0.4</v>
      </c>
      <c r="D256" s="111" t="s">
        <v>129</v>
      </c>
      <c r="E256" s="109">
        <f>E254-E255</f>
        <v>9.9640000000000006E-2</v>
      </c>
      <c r="F256" s="182" t="s">
        <v>21</v>
      </c>
      <c r="G256" s="126" t="s">
        <v>313</v>
      </c>
      <c r="H256" s="109">
        <f>E256*15329</f>
        <v>1527.38156</v>
      </c>
      <c r="I256" s="122"/>
      <c r="J256" s="98"/>
      <c r="K256" s="36"/>
      <c r="L256" s="98"/>
      <c r="M256" s="37"/>
      <c r="N256" s="16"/>
      <c r="O256" s="98"/>
      <c r="P256" s="18"/>
    </row>
    <row r="257" spans="1:16" s="12" customFormat="1">
      <c r="A257" s="78"/>
      <c r="B257" s="183" t="s">
        <v>310</v>
      </c>
      <c r="C257" s="184"/>
      <c r="D257" s="185"/>
      <c r="E257" s="184"/>
      <c r="F257" s="186"/>
      <c r="G257" s="187"/>
      <c r="H257" s="188">
        <f>H254+H255+H256</f>
        <v>1879.2936679282429</v>
      </c>
      <c r="I257" s="189">
        <v>1853</v>
      </c>
      <c r="J257" s="98"/>
      <c r="K257" s="36"/>
      <c r="L257" s="98"/>
      <c r="M257" s="37"/>
      <c r="N257" s="16"/>
      <c r="O257" s="98"/>
      <c r="P257" s="18"/>
    </row>
    <row r="258" spans="1:16" s="12" customFormat="1" ht="57">
      <c r="A258" s="78"/>
      <c r="B258" s="190" t="s">
        <v>446</v>
      </c>
      <c r="C258" s="109"/>
      <c r="D258" s="111"/>
      <c r="E258" s="109"/>
      <c r="F258" s="182"/>
      <c r="G258" s="126"/>
      <c r="H258" s="141"/>
      <c r="I258" s="122"/>
      <c r="J258" s="98"/>
      <c r="K258" s="36"/>
      <c r="L258" s="98"/>
      <c r="M258" s="37"/>
      <c r="N258" s="16"/>
      <c r="O258" s="98"/>
      <c r="P258" s="18"/>
    </row>
    <row r="259" spans="1:16" s="12" customFormat="1" ht="30">
      <c r="A259" s="78"/>
      <c r="B259" s="191" t="s">
        <v>447</v>
      </c>
      <c r="C259" s="109"/>
      <c r="D259" s="111"/>
      <c r="E259" s="109"/>
      <c r="F259" s="182"/>
      <c r="G259" s="126"/>
      <c r="H259" s="141"/>
      <c r="I259" s="122"/>
      <c r="J259" s="98"/>
      <c r="K259" s="36"/>
      <c r="L259" s="98"/>
      <c r="M259" s="37"/>
      <c r="N259" s="16"/>
      <c r="O259" s="98"/>
      <c r="P259" s="18"/>
    </row>
    <row r="260" spans="1:16" s="12" customFormat="1" ht="30">
      <c r="A260" s="78"/>
      <c r="B260" s="191" t="s">
        <v>448</v>
      </c>
      <c r="C260" s="109"/>
      <c r="D260" s="111"/>
      <c r="E260" s="109"/>
      <c r="F260" s="182"/>
      <c r="G260" s="126"/>
      <c r="H260" s="141"/>
      <c r="I260" s="122"/>
      <c r="J260" s="98"/>
      <c r="K260" s="36"/>
      <c r="L260" s="98"/>
      <c r="M260" s="37"/>
      <c r="N260" s="16"/>
      <c r="O260" s="98"/>
      <c r="P260" s="18"/>
    </row>
    <row r="261" spans="1:16" s="12" customFormat="1" ht="60">
      <c r="A261" s="78"/>
      <c r="B261" s="119" t="s">
        <v>314</v>
      </c>
      <c r="C261" s="109">
        <v>0.4</v>
      </c>
      <c r="D261" s="111" t="s">
        <v>351</v>
      </c>
      <c r="E261" s="109">
        <v>0.13100000000000001</v>
      </c>
      <c r="F261" s="113" t="s">
        <v>21</v>
      </c>
      <c r="G261" s="126" t="s">
        <v>347</v>
      </c>
      <c r="H261" s="141">
        <f>(722*E261)*1.06*1.05*1.051*1.051*1.054*1.049*1.047</f>
        <v>134.60830957293135</v>
      </c>
      <c r="I261" s="122"/>
      <c r="J261" s="98"/>
      <c r="K261" s="36"/>
      <c r="L261" s="98"/>
      <c r="M261" s="37"/>
      <c r="N261" s="16"/>
      <c r="O261" s="98"/>
      <c r="P261" s="18"/>
    </row>
    <row r="262" spans="1:16" s="12" customFormat="1">
      <c r="A262" s="78"/>
      <c r="B262" s="180" t="s">
        <v>112</v>
      </c>
      <c r="C262" s="109">
        <v>0.4</v>
      </c>
      <c r="D262" s="111">
        <v>1</v>
      </c>
      <c r="E262" s="109">
        <f>E261*0.47</f>
        <v>6.157E-2</v>
      </c>
      <c r="F262" s="113" t="s">
        <v>21</v>
      </c>
      <c r="G262" s="126" t="s">
        <v>312</v>
      </c>
      <c r="H262" s="141">
        <f>E262*1338*1.05*1.051*1.051*1.054*1.049*1.047</f>
        <v>110.6070422281315</v>
      </c>
      <c r="I262" s="122"/>
      <c r="J262" s="98"/>
      <c r="K262" s="36"/>
      <c r="L262" s="98"/>
      <c r="M262" s="37"/>
      <c r="N262" s="16"/>
      <c r="O262" s="98"/>
      <c r="P262" s="18"/>
    </row>
    <row r="263" spans="1:16" s="12" customFormat="1" ht="60">
      <c r="A263" s="78"/>
      <c r="B263" s="181" t="s">
        <v>20</v>
      </c>
      <c r="C263" s="109">
        <v>0.4</v>
      </c>
      <c r="D263" s="111" t="s">
        <v>129</v>
      </c>
      <c r="E263" s="109">
        <f>E261-E262</f>
        <v>6.9430000000000006E-2</v>
      </c>
      <c r="F263" s="182" t="s">
        <v>21</v>
      </c>
      <c r="G263" s="126" t="s">
        <v>313</v>
      </c>
      <c r="H263" s="109">
        <f>E263*15329</f>
        <v>1064.2924700000001</v>
      </c>
      <c r="I263" s="122"/>
      <c r="J263" s="98"/>
      <c r="K263" s="36"/>
      <c r="L263" s="98"/>
      <c r="M263" s="37"/>
      <c r="N263" s="16"/>
      <c r="O263" s="98"/>
      <c r="P263" s="18"/>
    </row>
    <row r="264" spans="1:16" s="12" customFormat="1">
      <c r="A264" s="78"/>
      <c r="B264" s="183" t="s">
        <v>310</v>
      </c>
      <c r="C264" s="184"/>
      <c r="D264" s="185"/>
      <c r="E264" s="184"/>
      <c r="F264" s="186"/>
      <c r="G264" s="187"/>
      <c r="H264" s="188">
        <f>H261+H262+H263</f>
        <v>1309.5078218010631</v>
      </c>
      <c r="I264" s="189">
        <v>1291</v>
      </c>
      <c r="J264" s="98"/>
      <c r="K264" s="36"/>
      <c r="L264" s="98"/>
      <c r="M264" s="37"/>
      <c r="N264" s="16"/>
      <c r="O264" s="98"/>
      <c r="P264" s="18"/>
    </row>
    <row r="265" spans="1:16" s="12" customFormat="1" ht="57">
      <c r="A265" s="78"/>
      <c r="B265" s="216" t="s">
        <v>449</v>
      </c>
      <c r="C265" s="109"/>
      <c r="D265" s="111"/>
      <c r="E265" s="109"/>
      <c r="F265" s="182"/>
      <c r="G265" s="126"/>
      <c r="H265" s="141"/>
      <c r="I265" s="122"/>
      <c r="J265" s="98"/>
      <c r="K265" s="36"/>
      <c r="L265" s="98"/>
      <c r="M265" s="37"/>
      <c r="N265" s="16"/>
      <c r="O265" s="98"/>
      <c r="P265" s="18"/>
    </row>
    <row r="266" spans="1:16" s="12" customFormat="1" ht="27.75" customHeight="1">
      <c r="A266" s="78"/>
      <c r="B266" s="191" t="s">
        <v>450</v>
      </c>
      <c r="C266" s="109"/>
      <c r="D266" s="111"/>
      <c r="E266" s="109"/>
      <c r="F266" s="182"/>
      <c r="G266" s="126"/>
      <c r="H266" s="141"/>
      <c r="I266" s="122"/>
      <c r="J266" s="98"/>
      <c r="K266" s="36"/>
      <c r="L266" s="98"/>
      <c r="M266" s="37"/>
      <c r="N266" s="16"/>
      <c r="O266" s="98"/>
      <c r="P266" s="18"/>
    </row>
    <row r="267" spans="1:16" s="173" customFormat="1" ht="60">
      <c r="A267" s="162"/>
      <c r="B267" s="119" t="s">
        <v>314</v>
      </c>
      <c r="C267" s="109">
        <v>0.4</v>
      </c>
      <c r="D267" s="111" t="s">
        <v>389</v>
      </c>
      <c r="E267" s="109">
        <v>0.1</v>
      </c>
      <c r="F267" s="113" t="s">
        <v>21</v>
      </c>
      <c r="G267" s="126" t="s">
        <v>390</v>
      </c>
      <c r="H267" s="141">
        <f>(448*E267)*1.06*1.05*1.051*1.051*1.054*1.049*1.047</f>
        <v>63.758984467100767</v>
      </c>
      <c r="I267" s="206"/>
      <c r="J267" s="168"/>
      <c r="K267" s="169"/>
      <c r="L267" s="168"/>
      <c r="M267" s="170"/>
      <c r="N267" s="171"/>
      <c r="O267" s="168"/>
      <c r="P267" s="172"/>
    </row>
    <row r="268" spans="1:16" s="173" customFormat="1">
      <c r="A268" s="162"/>
      <c r="B268" s="180" t="s">
        <v>112</v>
      </c>
      <c r="C268" s="109">
        <v>0.4</v>
      </c>
      <c r="D268" s="111">
        <v>1</v>
      </c>
      <c r="E268" s="109">
        <f>E267*0.5</f>
        <v>0.05</v>
      </c>
      <c r="F268" s="113" t="s">
        <v>21</v>
      </c>
      <c r="G268" s="126" t="s">
        <v>312</v>
      </c>
      <c r="H268" s="141">
        <f>E268*1338*1.05*1.051*1.051*1.054*1.049*1.047</f>
        <v>89.822187939038088</v>
      </c>
      <c r="I268" s="206"/>
      <c r="J268" s="168"/>
      <c r="K268" s="169"/>
      <c r="L268" s="168"/>
      <c r="M268" s="170"/>
      <c r="N268" s="171"/>
      <c r="O268" s="168"/>
      <c r="P268" s="172"/>
    </row>
    <row r="269" spans="1:16" s="173" customFormat="1" ht="60">
      <c r="A269" s="162"/>
      <c r="B269" s="181" t="s">
        <v>20</v>
      </c>
      <c r="C269" s="109">
        <v>0.4</v>
      </c>
      <c r="D269" s="111" t="s">
        <v>129</v>
      </c>
      <c r="E269" s="109">
        <f>E267-E268</f>
        <v>0.05</v>
      </c>
      <c r="F269" s="182" t="s">
        <v>21</v>
      </c>
      <c r="G269" s="126" t="s">
        <v>313</v>
      </c>
      <c r="H269" s="109">
        <f>E269*15329</f>
        <v>766.45</v>
      </c>
      <c r="I269" s="206"/>
      <c r="J269" s="168"/>
      <c r="K269" s="169"/>
      <c r="L269" s="168"/>
      <c r="M269" s="170"/>
      <c r="N269" s="171"/>
      <c r="O269" s="168"/>
      <c r="P269" s="172"/>
    </row>
    <row r="270" spans="1:16" s="173" customFormat="1">
      <c r="A270" s="162"/>
      <c r="B270" s="183" t="s">
        <v>310</v>
      </c>
      <c r="C270" s="184"/>
      <c r="D270" s="185"/>
      <c r="E270" s="184"/>
      <c r="F270" s="186"/>
      <c r="G270" s="187"/>
      <c r="H270" s="188">
        <f>H267+H268+H269</f>
        <v>920.03117240613892</v>
      </c>
      <c r="I270" s="207">
        <v>835</v>
      </c>
      <c r="J270" s="168"/>
      <c r="K270" s="169"/>
      <c r="L270" s="168"/>
      <c r="M270" s="170"/>
      <c r="N270" s="171"/>
      <c r="O270" s="168"/>
      <c r="P270" s="172"/>
    </row>
    <row r="271" spans="1:16" s="173" customFormat="1" ht="28.5" customHeight="1">
      <c r="A271" s="162"/>
      <c r="B271" s="211" t="s">
        <v>451</v>
      </c>
      <c r="C271" s="184"/>
      <c r="D271" s="185"/>
      <c r="E271" s="184"/>
      <c r="F271" s="186"/>
      <c r="G271" s="187"/>
      <c r="H271" s="188"/>
      <c r="I271" s="207"/>
      <c r="J271" s="168"/>
      <c r="K271" s="169"/>
      <c r="L271" s="168"/>
      <c r="M271" s="170"/>
      <c r="N271" s="171"/>
      <c r="O271" s="168"/>
      <c r="P271" s="172"/>
    </row>
    <row r="272" spans="1:16" s="173" customFormat="1" ht="33.75" customHeight="1">
      <c r="A272" s="162"/>
      <c r="B272" s="211" t="s">
        <v>452</v>
      </c>
      <c r="C272" s="184"/>
      <c r="D272" s="185"/>
      <c r="E272" s="184"/>
      <c r="F272" s="186"/>
      <c r="G272" s="187"/>
      <c r="H272" s="188"/>
      <c r="I272" s="207"/>
      <c r="J272" s="168"/>
      <c r="K272" s="169"/>
      <c r="L272" s="168"/>
      <c r="M272" s="170"/>
      <c r="N272" s="171"/>
      <c r="O272" s="168"/>
      <c r="P272" s="172"/>
    </row>
    <row r="273" spans="1:16" s="173" customFormat="1" ht="37.5" customHeight="1">
      <c r="A273" s="162"/>
      <c r="B273" s="211" t="s">
        <v>453</v>
      </c>
      <c r="C273" s="184"/>
      <c r="D273" s="185"/>
      <c r="E273" s="184"/>
      <c r="F273" s="186"/>
      <c r="G273" s="187"/>
      <c r="H273" s="188"/>
      <c r="I273" s="207"/>
      <c r="J273" s="168"/>
      <c r="K273" s="169"/>
      <c r="L273" s="168"/>
      <c r="M273" s="170"/>
      <c r="N273" s="171"/>
      <c r="O273" s="168"/>
      <c r="P273" s="172"/>
    </row>
    <row r="274" spans="1:16" s="173" customFormat="1" ht="60">
      <c r="A274" s="162"/>
      <c r="B274" s="119" t="s">
        <v>314</v>
      </c>
      <c r="C274" s="109">
        <v>0.4</v>
      </c>
      <c r="D274" s="111" t="s">
        <v>351</v>
      </c>
      <c r="E274" s="109">
        <v>0.20499999999999999</v>
      </c>
      <c r="F274" s="113" t="s">
        <v>21</v>
      </c>
      <c r="G274" s="126" t="s">
        <v>347</v>
      </c>
      <c r="H274" s="141">
        <f>(722*E274)*1.06*1.05*1.051*1.051*1.054*1.049*1.047</f>
        <v>210.64659131641929</v>
      </c>
      <c r="I274" s="207"/>
      <c r="J274" s="168"/>
      <c r="K274" s="169"/>
      <c r="L274" s="168"/>
      <c r="M274" s="170"/>
      <c r="N274" s="171"/>
      <c r="O274" s="168"/>
      <c r="P274" s="172"/>
    </row>
    <row r="275" spans="1:16" s="173" customFormat="1">
      <c r="A275" s="162"/>
      <c r="B275" s="180" t="s">
        <v>112</v>
      </c>
      <c r="C275" s="109">
        <v>0.4</v>
      </c>
      <c r="D275" s="111">
        <v>1</v>
      </c>
      <c r="E275" s="109">
        <f>E274*0.47</f>
        <v>9.6349999999999991E-2</v>
      </c>
      <c r="F275" s="113" t="s">
        <v>21</v>
      </c>
      <c r="G275" s="126" t="s">
        <v>312</v>
      </c>
      <c r="H275" s="141">
        <f>E275*1338*1.05*1.051*1.051*1.054*1.049*1.047</f>
        <v>173.08735615852632</v>
      </c>
      <c r="I275" s="207"/>
      <c r="J275" s="168"/>
      <c r="K275" s="169"/>
      <c r="L275" s="168"/>
      <c r="M275" s="170"/>
      <c r="N275" s="171"/>
      <c r="O275" s="168"/>
      <c r="P275" s="172"/>
    </row>
    <row r="276" spans="1:16" s="173" customFormat="1" ht="60">
      <c r="A276" s="162"/>
      <c r="B276" s="181" t="s">
        <v>20</v>
      </c>
      <c r="C276" s="109">
        <v>0.4</v>
      </c>
      <c r="D276" s="111" t="s">
        <v>129</v>
      </c>
      <c r="E276" s="109">
        <f>E274-E275</f>
        <v>0.10865</v>
      </c>
      <c r="F276" s="182" t="s">
        <v>21</v>
      </c>
      <c r="G276" s="126" t="s">
        <v>313</v>
      </c>
      <c r="H276" s="109">
        <f>E276*15329</f>
        <v>1665.49585</v>
      </c>
      <c r="I276" s="207"/>
      <c r="J276" s="168"/>
      <c r="K276" s="169"/>
      <c r="L276" s="168"/>
      <c r="M276" s="170"/>
      <c r="N276" s="171"/>
      <c r="O276" s="168"/>
      <c r="P276" s="172"/>
    </row>
    <row r="277" spans="1:16" s="173" customFormat="1">
      <c r="A277" s="162"/>
      <c r="B277" s="183" t="s">
        <v>310</v>
      </c>
      <c r="C277" s="184"/>
      <c r="D277" s="185"/>
      <c r="E277" s="184"/>
      <c r="F277" s="186"/>
      <c r="G277" s="187"/>
      <c r="H277" s="188">
        <f>H274+H275+H276</f>
        <v>2049.2297974749454</v>
      </c>
      <c r="I277" s="207">
        <v>2020</v>
      </c>
      <c r="J277" s="168"/>
      <c r="K277" s="169"/>
      <c r="L277" s="168"/>
      <c r="M277" s="170"/>
      <c r="N277" s="171"/>
      <c r="O277" s="168"/>
      <c r="P277" s="172"/>
    </row>
    <row r="278" spans="1:16" s="173" customFormat="1" ht="105">
      <c r="A278" s="162"/>
      <c r="B278" s="121" t="s">
        <v>348</v>
      </c>
      <c r="C278" s="184"/>
      <c r="D278" s="185"/>
      <c r="E278" s="184"/>
      <c r="F278" s="186"/>
      <c r="G278" s="187"/>
      <c r="H278" s="188"/>
      <c r="I278" s="207"/>
      <c r="J278" s="168"/>
      <c r="K278" s="169"/>
      <c r="L278" s="168"/>
      <c r="M278" s="170"/>
      <c r="N278" s="171"/>
      <c r="O278" s="168"/>
      <c r="P278" s="172"/>
    </row>
    <row r="279" spans="1:16" s="173" customFormat="1" ht="75">
      <c r="A279" s="162"/>
      <c r="B279" s="119" t="s">
        <v>314</v>
      </c>
      <c r="C279" s="109" t="s">
        <v>349</v>
      </c>
      <c r="D279" s="111" t="s">
        <v>356</v>
      </c>
      <c r="E279" s="109">
        <v>8.8699999999999992</v>
      </c>
      <c r="F279" s="113" t="s">
        <v>21</v>
      </c>
      <c r="G279" s="126" t="s">
        <v>311</v>
      </c>
      <c r="H279" s="141">
        <f>(448*6+2136*1.87)*1.06*1.05*1.051*1.051*1.054*1.049*1.047</f>
        <v>9510.2218099151069</v>
      </c>
      <c r="I279" s="207"/>
      <c r="J279" s="168"/>
      <c r="K279" s="169"/>
      <c r="L279" s="168"/>
      <c r="M279" s="170"/>
      <c r="N279" s="171"/>
      <c r="O279" s="168"/>
      <c r="P279" s="172"/>
    </row>
    <row r="280" spans="1:16" s="173" customFormat="1">
      <c r="A280" s="162"/>
      <c r="B280" s="180" t="s">
        <v>112</v>
      </c>
      <c r="C280" s="109" t="s">
        <v>349</v>
      </c>
      <c r="D280" s="111">
        <v>1</v>
      </c>
      <c r="E280" s="109">
        <f>E279-E281</f>
        <v>7.8699999999999992</v>
      </c>
      <c r="F280" s="113" t="s">
        <v>21</v>
      </c>
      <c r="G280" s="126" t="s">
        <v>357</v>
      </c>
      <c r="H280" s="141">
        <f>(6*1338*1.05*1.051*1.051*1.054*1.049*1.047)+(1.87*496*1.05*1.051*1.051*1.054*1.049*1.047)</f>
        <v>12023.982070729662</v>
      </c>
      <c r="I280" s="207"/>
      <c r="J280" s="168"/>
      <c r="K280" s="169"/>
      <c r="L280" s="168"/>
      <c r="M280" s="170"/>
      <c r="N280" s="171"/>
      <c r="O280" s="168"/>
      <c r="P280" s="172"/>
    </row>
    <row r="281" spans="1:16" s="173" customFormat="1" ht="60">
      <c r="A281" s="162"/>
      <c r="B281" s="181" t="s">
        <v>20</v>
      </c>
      <c r="C281" s="109" t="s">
        <v>349</v>
      </c>
      <c r="D281" s="111" t="s">
        <v>129</v>
      </c>
      <c r="E281" s="109">
        <v>1</v>
      </c>
      <c r="F281" s="182" t="s">
        <v>21</v>
      </c>
      <c r="G281" s="126" t="s">
        <v>313</v>
      </c>
      <c r="H281" s="109">
        <f>E281*15329</f>
        <v>15329</v>
      </c>
      <c r="I281" s="207"/>
      <c r="J281" s="168"/>
      <c r="K281" s="169"/>
      <c r="L281" s="168"/>
      <c r="M281" s="170"/>
      <c r="N281" s="171"/>
      <c r="O281" s="168"/>
      <c r="P281" s="172"/>
    </row>
    <row r="282" spans="1:16" s="173" customFormat="1">
      <c r="A282" s="162"/>
      <c r="B282" s="183" t="s">
        <v>310</v>
      </c>
      <c r="C282" s="184"/>
      <c r="D282" s="185"/>
      <c r="E282" s="184"/>
      <c r="F282" s="186"/>
      <c r="G282" s="187"/>
      <c r="H282" s="188">
        <f>H279+H280+H281</f>
        <v>36863.203880644767</v>
      </c>
      <c r="I282" s="207">
        <v>33556.5</v>
      </c>
      <c r="J282" s="168"/>
      <c r="K282" s="169"/>
      <c r="L282" s="168"/>
      <c r="M282" s="170"/>
      <c r="N282" s="171"/>
      <c r="O282" s="168"/>
      <c r="P282" s="172"/>
    </row>
    <row r="283" spans="1:16" s="173" customFormat="1" ht="60">
      <c r="A283" s="162"/>
      <c r="B283" s="121" t="s">
        <v>358</v>
      </c>
      <c r="C283" s="184"/>
      <c r="D283" s="185"/>
      <c r="E283" s="184"/>
      <c r="F283" s="186"/>
      <c r="G283" s="187"/>
      <c r="H283" s="188"/>
      <c r="I283" s="207"/>
      <c r="J283" s="168"/>
      <c r="K283" s="169"/>
      <c r="L283" s="168"/>
      <c r="M283" s="170"/>
      <c r="N283" s="171"/>
      <c r="O283" s="168"/>
      <c r="P283" s="172"/>
    </row>
    <row r="284" spans="1:16" s="173" customFormat="1" ht="75">
      <c r="A284" s="162"/>
      <c r="B284" s="119" t="s">
        <v>314</v>
      </c>
      <c r="C284" s="109" t="s">
        <v>349</v>
      </c>
      <c r="D284" s="111" t="s">
        <v>356</v>
      </c>
      <c r="E284" s="109">
        <v>7.69</v>
      </c>
      <c r="F284" s="113" t="s">
        <v>21</v>
      </c>
      <c r="G284" s="126" t="s">
        <v>311</v>
      </c>
      <c r="H284" s="141">
        <f>(448*6+2136*1.69)*1.06*1.05*1.051*1.051*1.054*1.049*1.047</f>
        <v>8963.0330967920963</v>
      </c>
      <c r="I284" s="207"/>
      <c r="J284" s="168"/>
      <c r="K284" s="169"/>
      <c r="L284" s="168"/>
      <c r="M284" s="170"/>
      <c r="N284" s="171"/>
      <c r="O284" s="168"/>
      <c r="P284" s="172"/>
    </row>
    <row r="285" spans="1:16" s="173" customFormat="1">
      <c r="A285" s="162"/>
      <c r="B285" s="180" t="s">
        <v>112</v>
      </c>
      <c r="C285" s="109" t="s">
        <v>349</v>
      </c>
      <c r="D285" s="111">
        <v>1</v>
      </c>
      <c r="E285" s="109">
        <f>E284-E286</f>
        <v>6.69</v>
      </c>
      <c r="F285" s="113" t="s">
        <v>21</v>
      </c>
      <c r="G285" s="126" t="s">
        <v>357</v>
      </c>
      <c r="H285" s="141">
        <f>(6*1338*1.05*1.051*1.051*1.054*1.049*1.047)+(1.69*496*1.05*1.051*1.051*1.054*1.049*1.047)</f>
        <v>11904.111742789493</v>
      </c>
      <c r="I285" s="207"/>
      <c r="J285" s="168"/>
      <c r="K285" s="169"/>
      <c r="L285" s="168"/>
      <c r="M285" s="170"/>
      <c r="N285" s="171"/>
      <c r="O285" s="168"/>
      <c r="P285" s="172"/>
    </row>
    <row r="286" spans="1:16" s="173" customFormat="1" ht="60">
      <c r="A286" s="162"/>
      <c r="B286" s="181" t="s">
        <v>20</v>
      </c>
      <c r="C286" s="109" t="s">
        <v>349</v>
      </c>
      <c r="D286" s="111" t="s">
        <v>129</v>
      </c>
      <c r="E286" s="109">
        <v>1</v>
      </c>
      <c r="F286" s="182" t="s">
        <v>21</v>
      </c>
      <c r="G286" s="126" t="s">
        <v>313</v>
      </c>
      <c r="H286" s="109">
        <f>E286*15329</f>
        <v>15329</v>
      </c>
      <c r="I286" s="207"/>
      <c r="J286" s="168"/>
      <c r="K286" s="169"/>
      <c r="L286" s="168"/>
      <c r="M286" s="170"/>
      <c r="N286" s="171"/>
      <c r="O286" s="168"/>
      <c r="P286" s="172"/>
    </row>
    <row r="287" spans="1:16" s="173" customFormat="1">
      <c r="A287" s="162"/>
      <c r="B287" s="183" t="s">
        <v>310</v>
      </c>
      <c r="C287" s="184"/>
      <c r="D287" s="185"/>
      <c r="E287" s="184"/>
      <c r="F287" s="186"/>
      <c r="G287" s="187"/>
      <c r="H287" s="188">
        <f>H284+H285+H286</f>
        <v>36196.14483958159</v>
      </c>
      <c r="I287" s="207">
        <v>30488.5</v>
      </c>
      <c r="J287" s="168"/>
      <c r="K287" s="169"/>
      <c r="L287" s="168"/>
      <c r="M287" s="170"/>
      <c r="N287" s="171"/>
      <c r="O287" s="168"/>
      <c r="P287" s="172"/>
    </row>
    <row r="288" spans="1:16" s="173" customFormat="1">
      <c r="A288" s="162"/>
      <c r="B288" s="191"/>
      <c r="C288" s="201"/>
      <c r="D288" s="202"/>
      <c r="E288" s="201"/>
      <c r="F288" s="203"/>
      <c r="G288" s="204"/>
      <c r="H288" s="205"/>
      <c r="I288" s="206"/>
      <c r="J288" s="168"/>
      <c r="K288" s="169"/>
      <c r="L288" s="168"/>
      <c r="M288" s="170"/>
      <c r="N288" s="171"/>
      <c r="O288" s="168"/>
      <c r="P288" s="172"/>
    </row>
    <row r="289" spans="1:16" s="12" customFormat="1">
      <c r="A289" s="78"/>
      <c r="B289" s="179"/>
      <c r="C289" s="109"/>
      <c r="D289" s="111"/>
      <c r="E289" s="109"/>
      <c r="F289" s="182"/>
      <c r="G289" s="126"/>
      <c r="H289" s="141"/>
      <c r="I289" s="122"/>
      <c r="J289" s="96"/>
      <c r="K289" s="36"/>
      <c r="L289" s="96"/>
      <c r="M289" s="37"/>
      <c r="N289" s="16"/>
      <c r="O289" s="96"/>
      <c r="P289" s="18"/>
    </row>
    <row r="290" spans="1:16" s="12" customFormat="1">
      <c r="A290" s="78"/>
      <c r="B290" s="179"/>
      <c r="C290" s="109"/>
      <c r="D290" s="111"/>
      <c r="E290" s="109"/>
      <c r="F290" s="182"/>
      <c r="G290" s="126"/>
      <c r="H290" s="141"/>
      <c r="I290" s="122"/>
      <c r="J290" s="96"/>
      <c r="K290" s="36"/>
      <c r="L290" s="96"/>
      <c r="M290" s="37"/>
      <c r="N290" s="16"/>
      <c r="O290" s="96"/>
      <c r="P290" s="18"/>
    </row>
    <row r="291" spans="1:16" s="12" customFormat="1">
      <c r="A291" s="78"/>
      <c r="B291" s="183" t="s">
        <v>359</v>
      </c>
      <c r="C291" s="109"/>
      <c r="D291" s="111"/>
      <c r="E291" s="109"/>
      <c r="F291" s="182"/>
      <c r="G291" s="126"/>
      <c r="H291" s="141"/>
      <c r="I291" s="122"/>
      <c r="J291" s="96"/>
      <c r="K291" s="36"/>
      <c r="L291" s="96"/>
      <c r="M291" s="37"/>
      <c r="N291" s="16"/>
      <c r="O291" s="96"/>
      <c r="P291" s="18"/>
    </row>
    <row r="292" spans="1:16" s="12" customFormat="1">
      <c r="A292" s="78"/>
      <c r="B292" s="179" t="s">
        <v>316</v>
      </c>
      <c r="C292" s="109"/>
      <c r="D292" s="111"/>
      <c r="E292" s="109"/>
      <c r="F292" s="182"/>
      <c r="G292" s="126"/>
      <c r="H292" s="141"/>
      <c r="I292" s="122"/>
      <c r="J292" s="96"/>
      <c r="K292" s="36"/>
      <c r="L292" s="96"/>
      <c r="M292" s="37"/>
      <c r="N292" s="16"/>
      <c r="O292" s="96"/>
      <c r="P292" s="18"/>
    </row>
    <row r="293" spans="1:16" s="12" customFormat="1" ht="75">
      <c r="A293" s="78"/>
      <c r="B293" s="106" t="s">
        <v>315</v>
      </c>
      <c r="C293" s="109"/>
      <c r="D293" s="109"/>
      <c r="E293" s="109"/>
      <c r="F293" s="109"/>
      <c r="G293" s="109"/>
      <c r="H293" s="109"/>
      <c r="I293" s="122"/>
      <c r="J293" s="96"/>
      <c r="K293" s="36"/>
      <c r="L293" s="96"/>
      <c r="M293" s="37"/>
      <c r="N293" s="16"/>
      <c r="O293" s="96"/>
      <c r="P293" s="18"/>
    </row>
    <row r="294" spans="1:16" s="12" customFormat="1" ht="45">
      <c r="A294" s="78"/>
      <c r="B294" s="179" t="s">
        <v>317</v>
      </c>
      <c r="C294" s="152">
        <v>10</v>
      </c>
      <c r="D294" s="153" t="s">
        <v>158</v>
      </c>
      <c r="E294" s="154">
        <v>2.2000000000000002</v>
      </c>
      <c r="F294" s="155" t="s">
        <v>21</v>
      </c>
      <c r="G294" s="100" t="s">
        <v>159</v>
      </c>
      <c r="H294" s="156">
        <f>(767*E294+699*E294+413*E294+6890*0.05*E294)*1.05*1.051</f>
        <v>5398.2355350000007</v>
      </c>
      <c r="I294" s="222"/>
      <c r="J294" s="96"/>
      <c r="K294" s="36"/>
      <c r="L294" s="96"/>
      <c r="M294" s="37"/>
      <c r="N294" s="16"/>
      <c r="O294" s="96"/>
      <c r="P294" s="18"/>
    </row>
    <row r="295" spans="1:16" s="12" customFormat="1">
      <c r="A295" s="78"/>
      <c r="B295" s="179" t="s">
        <v>318</v>
      </c>
      <c r="C295" s="109"/>
      <c r="D295" s="111"/>
      <c r="E295" s="109"/>
      <c r="F295" s="182"/>
      <c r="G295" s="126"/>
      <c r="H295" s="141"/>
      <c r="I295" s="122"/>
      <c r="J295" s="96"/>
      <c r="K295" s="36"/>
      <c r="L295" s="96"/>
      <c r="M295" s="37"/>
      <c r="N295" s="16"/>
      <c r="O295" s="96"/>
      <c r="P295" s="18"/>
    </row>
    <row r="296" spans="1:16" s="12" customFormat="1" ht="45">
      <c r="A296" s="78"/>
      <c r="B296" s="119" t="s">
        <v>319</v>
      </c>
      <c r="C296" s="109">
        <v>10</v>
      </c>
      <c r="D296" s="111" t="s">
        <v>352</v>
      </c>
      <c r="E296" s="109">
        <v>0.9</v>
      </c>
      <c r="F296" s="113" t="s">
        <v>21</v>
      </c>
      <c r="G296" s="126" t="s">
        <v>321</v>
      </c>
      <c r="H296" s="141">
        <f>(2136*E296)*1.06*1.05*1.051</f>
        <v>2248.7523912000001</v>
      </c>
      <c r="I296" s="122"/>
      <c r="J296" s="96"/>
      <c r="K296" s="36"/>
      <c r="L296" s="96"/>
      <c r="M296" s="37"/>
      <c r="N296" s="16"/>
      <c r="O296" s="96"/>
      <c r="P296" s="18"/>
    </row>
    <row r="297" spans="1:16" s="12" customFormat="1">
      <c r="A297" s="78"/>
      <c r="B297" s="180" t="s">
        <v>112</v>
      </c>
      <c r="C297" s="109">
        <v>10</v>
      </c>
      <c r="D297" s="111">
        <v>1</v>
      </c>
      <c r="E297" s="109">
        <v>0.9</v>
      </c>
      <c r="F297" s="113" t="s">
        <v>21</v>
      </c>
      <c r="G297" s="126" t="s">
        <v>322</v>
      </c>
      <c r="H297" s="141">
        <f>1428*E297</f>
        <v>1285.2</v>
      </c>
      <c r="I297" s="122"/>
      <c r="J297" s="96"/>
      <c r="K297" s="36"/>
      <c r="L297" s="96"/>
      <c r="M297" s="37"/>
      <c r="N297" s="16"/>
      <c r="O297" s="96"/>
      <c r="P297" s="18"/>
    </row>
    <row r="298" spans="1:16" s="12" customFormat="1">
      <c r="A298" s="78"/>
      <c r="B298" s="180" t="s">
        <v>320</v>
      </c>
      <c r="C298" s="109"/>
      <c r="D298" s="111"/>
      <c r="E298" s="109"/>
      <c r="F298" s="113"/>
      <c r="G298" s="126"/>
      <c r="H298" s="141">
        <f>H294+H296+H297</f>
        <v>8932.187926200002</v>
      </c>
      <c r="I298" s="112">
        <v>8163.7</v>
      </c>
      <c r="J298" s="96"/>
      <c r="K298" s="36"/>
      <c r="L298" s="96"/>
      <c r="M298" s="37"/>
      <c r="N298" s="16"/>
      <c r="O298" s="96"/>
      <c r="P298" s="18"/>
    </row>
    <row r="299" spans="1:16" s="12" customFormat="1" ht="30">
      <c r="A299" s="78"/>
      <c r="B299" s="223" t="s">
        <v>323</v>
      </c>
      <c r="C299" s="109"/>
      <c r="D299" s="111"/>
      <c r="E299" s="109"/>
      <c r="F299" s="113"/>
      <c r="G299" s="126"/>
      <c r="H299" s="141"/>
      <c r="I299" s="122"/>
      <c r="J299" s="96"/>
      <c r="K299" s="36"/>
      <c r="L299" s="96"/>
      <c r="M299" s="37"/>
      <c r="N299" s="16"/>
      <c r="O299" s="96"/>
      <c r="P299" s="18"/>
    </row>
    <row r="300" spans="1:16" s="12" customFormat="1" ht="60">
      <c r="A300" s="78"/>
      <c r="B300" s="181" t="s">
        <v>20</v>
      </c>
      <c r="C300" s="109">
        <v>10</v>
      </c>
      <c r="D300" s="111" t="s">
        <v>129</v>
      </c>
      <c r="E300" s="109">
        <v>0.23</v>
      </c>
      <c r="F300" s="113" t="s">
        <v>21</v>
      </c>
      <c r="G300" s="126" t="s">
        <v>313</v>
      </c>
      <c r="H300" s="141">
        <f>E300*15329</f>
        <v>3525.67</v>
      </c>
      <c r="I300" s="122"/>
      <c r="J300" s="96"/>
      <c r="K300" s="36"/>
      <c r="L300" s="96"/>
      <c r="M300" s="37"/>
      <c r="N300" s="16"/>
      <c r="O300" s="96"/>
      <c r="P300" s="18"/>
    </row>
    <row r="301" spans="1:16" s="12" customFormat="1">
      <c r="A301" s="78"/>
      <c r="B301" s="180" t="s">
        <v>320</v>
      </c>
      <c r="C301" s="109"/>
      <c r="D301" s="111"/>
      <c r="E301" s="109"/>
      <c r="F301" s="113"/>
      <c r="G301" s="126"/>
      <c r="H301" s="141">
        <f>H300</f>
        <v>3525.67</v>
      </c>
      <c r="I301" s="224">
        <v>2964.47</v>
      </c>
      <c r="J301" s="96"/>
      <c r="K301" s="36"/>
      <c r="L301" s="96"/>
      <c r="M301" s="37"/>
      <c r="N301" s="16"/>
      <c r="O301" s="96"/>
      <c r="P301" s="18"/>
    </row>
    <row r="302" spans="1:16" s="12" customFormat="1" ht="30">
      <c r="A302" s="78"/>
      <c r="B302" s="223" t="s">
        <v>324</v>
      </c>
      <c r="C302" s="109"/>
      <c r="D302" s="111"/>
      <c r="E302" s="109"/>
      <c r="F302" s="113"/>
      <c r="G302" s="126"/>
      <c r="H302" s="141"/>
      <c r="I302" s="122"/>
      <c r="J302" s="96"/>
      <c r="K302" s="36"/>
      <c r="L302" s="96"/>
      <c r="M302" s="37"/>
      <c r="N302" s="16"/>
      <c r="O302" s="96"/>
      <c r="P302" s="18"/>
    </row>
    <row r="303" spans="1:16" s="12" customFormat="1" ht="60">
      <c r="A303" s="78"/>
      <c r="B303" s="181" t="s">
        <v>20</v>
      </c>
      <c r="C303" s="109">
        <v>10</v>
      </c>
      <c r="D303" s="111" t="s">
        <v>129</v>
      </c>
      <c r="E303" s="109">
        <v>0.3</v>
      </c>
      <c r="F303" s="113" t="s">
        <v>21</v>
      </c>
      <c r="G303" s="126" t="s">
        <v>313</v>
      </c>
      <c r="H303" s="141">
        <f>E303*15329</f>
        <v>4598.7</v>
      </c>
      <c r="I303" s="122"/>
      <c r="J303" s="96"/>
      <c r="K303" s="36"/>
      <c r="L303" s="96"/>
      <c r="M303" s="37"/>
      <c r="N303" s="16"/>
      <c r="O303" s="96"/>
      <c r="P303" s="18"/>
    </row>
    <row r="304" spans="1:16" s="12" customFormat="1">
      <c r="A304" s="78"/>
      <c r="B304" s="225" t="s">
        <v>320</v>
      </c>
      <c r="C304" s="109"/>
      <c r="D304" s="111"/>
      <c r="E304" s="109"/>
      <c r="F304" s="113"/>
      <c r="G304" s="126"/>
      <c r="H304" s="141">
        <f>H303</f>
        <v>4598.7</v>
      </c>
      <c r="I304" s="224">
        <v>3866.7</v>
      </c>
      <c r="J304" s="96"/>
      <c r="K304" s="36"/>
      <c r="L304" s="96"/>
      <c r="M304" s="37"/>
      <c r="N304" s="16"/>
      <c r="O304" s="96"/>
      <c r="P304" s="18"/>
    </row>
    <row r="305" spans="1:16" s="12" customFormat="1" ht="30">
      <c r="A305" s="78"/>
      <c r="B305" s="223" t="s">
        <v>325</v>
      </c>
      <c r="C305" s="109"/>
      <c r="D305" s="111"/>
      <c r="E305" s="109"/>
      <c r="F305" s="113"/>
      <c r="G305" s="126"/>
      <c r="H305" s="141"/>
      <c r="I305" s="122"/>
      <c r="J305" s="96"/>
      <c r="K305" s="36"/>
      <c r="L305" s="96"/>
      <c r="M305" s="37"/>
      <c r="N305" s="16"/>
      <c r="O305" s="96"/>
      <c r="P305" s="18"/>
    </row>
    <row r="306" spans="1:16" s="12" customFormat="1" ht="60">
      <c r="A306" s="78"/>
      <c r="B306" s="181" t="s">
        <v>20</v>
      </c>
      <c r="C306" s="109">
        <v>10</v>
      </c>
      <c r="D306" s="111" t="s">
        <v>129</v>
      </c>
      <c r="E306" s="109">
        <v>0.2</v>
      </c>
      <c r="F306" s="113" t="s">
        <v>21</v>
      </c>
      <c r="G306" s="126" t="s">
        <v>313</v>
      </c>
      <c r="H306" s="141">
        <f>E306*15329</f>
        <v>3065.8</v>
      </c>
      <c r="I306" s="122"/>
      <c r="J306" s="96"/>
      <c r="K306" s="36"/>
      <c r="L306" s="96"/>
      <c r="M306" s="37"/>
      <c r="N306" s="16"/>
      <c r="O306" s="96"/>
      <c r="P306" s="18"/>
    </row>
    <row r="307" spans="1:16" s="12" customFormat="1">
      <c r="A307" s="78"/>
      <c r="B307" s="225" t="s">
        <v>320</v>
      </c>
      <c r="C307" s="109"/>
      <c r="D307" s="111"/>
      <c r="E307" s="109"/>
      <c r="F307" s="113"/>
      <c r="G307" s="126"/>
      <c r="H307" s="141">
        <f>H306</f>
        <v>3065.8</v>
      </c>
      <c r="I307" s="224">
        <v>2577.8000000000002</v>
      </c>
      <c r="J307" s="96"/>
      <c r="K307" s="36"/>
      <c r="L307" s="96"/>
      <c r="M307" s="37"/>
      <c r="N307" s="16"/>
      <c r="O307" s="96"/>
      <c r="P307" s="18"/>
    </row>
    <row r="308" spans="1:16" s="12" customFormat="1" ht="99.75">
      <c r="A308" s="78"/>
      <c r="B308" s="137" t="s">
        <v>326</v>
      </c>
      <c r="C308" s="109"/>
      <c r="D308" s="111"/>
      <c r="E308" s="109"/>
      <c r="F308" s="113"/>
      <c r="G308" s="126"/>
      <c r="H308" s="141"/>
      <c r="I308" s="122"/>
      <c r="J308" s="96"/>
      <c r="K308" s="36"/>
      <c r="L308" s="96"/>
      <c r="M308" s="37"/>
      <c r="N308" s="16"/>
      <c r="O308" s="96"/>
      <c r="P308" s="18"/>
    </row>
    <row r="309" spans="1:16" s="12" customFormat="1" ht="45">
      <c r="A309" s="78"/>
      <c r="B309" s="119" t="s">
        <v>319</v>
      </c>
      <c r="C309" s="109">
        <v>0.4</v>
      </c>
      <c r="D309" s="111" t="s">
        <v>353</v>
      </c>
      <c r="E309" s="109">
        <v>0.03</v>
      </c>
      <c r="F309" s="113" t="s">
        <v>21</v>
      </c>
      <c r="G309" s="126" t="s">
        <v>327</v>
      </c>
      <c r="H309" s="141">
        <f>(1979*E309)*1.06*1.05*1.051</f>
        <v>69.448829309999994</v>
      </c>
      <c r="I309" s="122"/>
      <c r="J309" s="96"/>
      <c r="K309" s="36"/>
      <c r="L309" s="96"/>
      <c r="M309" s="37"/>
      <c r="N309" s="16"/>
      <c r="O309" s="96"/>
      <c r="P309" s="18"/>
    </row>
    <row r="310" spans="1:16" s="12" customFormat="1">
      <c r="A310" s="78"/>
      <c r="B310" s="180" t="s">
        <v>112</v>
      </c>
      <c r="C310" s="109">
        <v>0.4</v>
      </c>
      <c r="D310" s="111">
        <v>1</v>
      </c>
      <c r="E310" s="109">
        <v>0.03</v>
      </c>
      <c r="F310" s="113" t="s">
        <v>21</v>
      </c>
      <c r="G310" s="126" t="s">
        <v>322</v>
      </c>
      <c r="H310" s="141">
        <f>E310*1428*1.05*1.051</f>
        <v>47.276081999999995</v>
      </c>
      <c r="I310" s="122"/>
      <c r="J310" s="96"/>
      <c r="K310" s="36"/>
      <c r="L310" s="96"/>
      <c r="M310" s="37"/>
      <c r="N310" s="16"/>
      <c r="O310" s="96"/>
      <c r="P310" s="18"/>
    </row>
    <row r="311" spans="1:16" s="12" customFormat="1">
      <c r="A311" s="78"/>
      <c r="B311" s="226" t="s">
        <v>320</v>
      </c>
      <c r="C311" s="184"/>
      <c r="D311" s="185"/>
      <c r="E311" s="184"/>
      <c r="F311" s="186"/>
      <c r="G311" s="187"/>
      <c r="H311" s="188">
        <f>H309+H310</f>
        <v>116.72491130999998</v>
      </c>
      <c r="I311" s="193">
        <v>79.44</v>
      </c>
      <c r="J311" s="96"/>
      <c r="K311" s="36"/>
      <c r="L311" s="96"/>
      <c r="M311" s="37"/>
      <c r="N311" s="16"/>
      <c r="O311" s="96"/>
      <c r="P311" s="18"/>
    </row>
    <row r="312" spans="1:16" s="12" customFormat="1" ht="71.25">
      <c r="A312" s="78"/>
      <c r="B312" s="137" t="s">
        <v>328</v>
      </c>
      <c r="C312" s="184"/>
      <c r="D312" s="185"/>
      <c r="E312" s="184"/>
      <c r="F312" s="186"/>
      <c r="G312" s="187"/>
      <c r="H312" s="188"/>
      <c r="I312" s="193"/>
      <c r="J312" s="96"/>
      <c r="K312" s="36"/>
      <c r="L312" s="96"/>
      <c r="M312" s="37"/>
      <c r="N312" s="16"/>
      <c r="O312" s="96"/>
      <c r="P312" s="18"/>
    </row>
    <row r="313" spans="1:16" s="12" customFormat="1" ht="60">
      <c r="A313" s="78"/>
      <c r="B313" s="181" t="s">
        <v>20</v>
      </c>
      <c r="C313" s="109">
        <v>10</v>
      </c>
      <c r="D313" s="111" t="s">
        <v>129</v>
      </c>
      <c r="E313" s="109">
        <v>0.2</v>
      </c>
      <c r="F313" s="113" t="s">
        <v>21</v>
      </c>
      <c r="G313" s="126" t="s">
        <v>313</v>
      </c>
      <c r="H313" s="141">
        <f>E313*15329</f>
        <v>3065.8</v>
      </c>
      <c r="I313" s="193"/>
      <c r="J313" s="96"/>
      <c r="K313" s="36"/>
      <c r="L313" s="96"/>
      <c r="M313" s="37"/>
      <c r="N313" s="16"/>
      <c r="O313" s="96"/>
      <c r="P313" s="18"/>
    </row>
    <row r="314" spans="1:16" s="12" customFormat="1">
      <c r="A314" s="78"/>
      <c r="B314" s="226" t="s">
        <v>320</v>
      </c>
      <c r="C314" s="184"/>
      <c r="D314" s="185"/>
      <c r="E314" s="184"/>
      <c r="F314" s="186"/>
      <c r="G314" s="187"/>
      <c r="H314" s="188">
        <f>H313</f>
        <v>3065.8</v>
      </c>
      <c r="I314" s="193">
        <v>2480.6</v>
      </c>
      <c r="J314" s="96"/>
      <c r="K314" s="36"/>
      <c r="L314" s="96"/>
      <c r="M314" s="37"/>
      <c r="N314" s="16"/>
      <c r="O314" s="96"/>
      <c r="P314" s="18"/>
    </row>
    <row r="315" spans="1:16" s="12" customFormat="1" ht="60">
      <c r="A315" s="78"/>
      <c r="B315" s="106" t="s">
        <v>329</v>
      </c>
      <c r="C315" s="184"/>
      <c r="D315" s="185"/>
      <c r="E315" s="184"/>
      <c r="F315" s="186"/>
      <c r="G315" s="187"/>
      <c r="H315" s="188"/>
      <c r="I315" s="193"/>
      <c r="J315" s="96"/>
      <c r="K315" s="36"/>
      <c r="L315" s="96"/>
      <c r="M315" s="37"/>
      <c r="N315" s="16"/>
      <c r="O315" s="96"/>
      <c r="P315" s="18"/>
    </row>
    <row r="316" spans="1:16" s="12" customFormat="1" ht="45">
      <c r="A316" s="78"/>
      <c r="B316" s="119" t="s">
        <v>319</v>
      </c>
      <c r="C316" s="109">
        <v>10</v>
      </c>
      <c r="D316" s="111" t="s">
        <v>354</v>
      </c>
      <c r="E316" s="109">
        <v>0.05</v>
      </c>
      <c r="F316" s="113" t="s">
        <v>21</v>
      </c>
      <c r="G316" s="126" t="s">
        <v>330</v>
      </c>
      <c r="H316" s="141">
        <f>(2058*E316)*1.06*1.05*1.051</f>
        <v>120.36861270000001</v>
      </c>
      <c r="I316" s="193"/>
      <c r="J316" s="96"/>
      <c r="K316" s="36"/>
      <c r="L316" s="96"/>
      <c r="M316" s="37"/>
      <c r="N316" s="16"/>
      <c r="O316" s="96"/>
      <c r="P316" s="18"/>
    </row>
    <row r="317" spans="1:16" s="12" customFormat="1">
      <c r="A317" s="78"/>
      <c r="B317" s="180" t="s">
        <v>112</v>
      </c>
      <c r="C317" s="109">
        <v>10</v>
      </c>
      <c r="D317" s="111">
        <v>1</v>
      </c>
      <c r="E317" s="109">
        <v>0.05</v>
      </c>
      <c r="F317" s="113" t="s">
        <v>21</v>
      </c>
      <c r="G317" s="126" t="s">
        <v>322</v>
      </c>
      <c r="H317" s="141">
        <f>E317*1428*1.05*1.051</f>
        <v>78.793470000000013</v>
      </c>
      <c r="I317" s="193"/>
      <c r="J317" s="96"/>
      <c r="K317" s="36"/>
      <c r="L317" s="96"/>
      <c r="M317" s="37"/>
      <c r="N317" s="16"/>
      <c r="O317" s="96"/>
      <c r="P317" s="18"/>
    </row>
    <row r="318" spans="1:16" s="12" customFormat="1">
      <c r="A318" s="78"/>
      <c r="B318" s="226" t="s">
        <v>320</v>
      </c>
      <c r="C318" s="184"/>
      <c r="D318" s="185"/>
      <c r="E318" s="184"/>
      <c r="F318" s="186"/>
      <c r="G318" s="187"/>
      <c r="H318" s="188">
        <f>H316+H317</f>
        <v>199.16208270000004</v>
      </c>
      <c r="I318" s="193">
        <v>141.1935</v>
      </c>
      <c r="J318" s="96"/>
      <c r="K318" s="36"/>
      <c r="L318" s="96"/>
      <c r="M318" s="37"/>
      <c r="N318" s="16"/>
      <c r="O318" s="96"/>
      <c r="P318" s="18"/>
    </row>
    <row r="319" spans="1:16" s="12" customFormat="1" ht="60.75" customHeight="1">
      <c r="A319" s="78"/>
      <c r="B319" s="106" t="s">
        <v>331</v>
      </c>
      <c r="C319" s="184"/>
      <c r="D319" s="185"/>
      <c r="E319" s="184"/>
      <c r="F319" s="186"/>
      <c r="G319" s="187"/>
      <c r="H319" s="188"/>
      <c r="I319" s="193"/>
      <c r="J319" s="96"/>
      <c r="K319" s="36"/>
      <c r="L319" s="96"/>
      <c r="M319" s="37"/>
      <c r="N319" s="16"/>
      <c r="O319" s="96"/>
      <c r="P319" s="18"/>
    </row>
    <row r="320" spans="1:16" s="12" customFormat="1" ht="45">
      <c r="A320" s="78"/>
      <c r="B320" s="119" t="s">
        <v>319</v>
      </c>
      <c r="C320" s="109">
        <v>10</v>
      </c>
      <c r="D320" s="111" t="s">
        <v>355</v>
      </c>
      <c r="E320" s="109">
        <v>0.1</v>
      </c>
      <c r="F320" s="113" t="s">
        <v>21</v>
      </c>
      <c r="G320" s="126" t="s">
        <v>330</v>
      </c>
      <c r="H320" s="141">
        <f>(2944*E320)*1.06*1.05*1.051</f>
        <v>344.37822720000008</v>
      </c>
      <c r="I320" s="193"/>
      <c r="J320" s="96"/>
      <c r="K320" s="36"/>
      <c r="L320" s="96"/>
      <c r="M320" s="37"/>
      <c r="N320" s="16"/>
      <c r="O320" s="96"/>
      <c r="P320" s="18"/>
    </row>
    <row r="321" spans="1:16" s="12" customFormat="1">
      <c r="A321" s="78"/>
      <c r="B321" s="180" t="s">
        <v>112</v>
      </c>
      <c r="C321" s="109">
        <v>10</v>
      </c>
      <c r="D321" s="111">
        <v>1</v>
      </c>
      <c r="E321" s="109">
        <v>0.1</v>
      </c>
      <c r="F321" s="113" t="s">
        <v>21</v>
      </c>
      <c r="G321" s="126" t="s">
        <v>322</v>
      </c>
      <c r="H321" s="141">
        <f>E321*1428*1.05*1.051</f>
        <v>157.58694000000003</v>
      </c>
      <c r="I321" s="193"/>
      <c r="J321" s="96"/>
      <c r="K321" s="36"/>
      <c r="L321" s="96"/>
      <c r="M321" s="37"/>
      <c r="N321" s="16"/>
      <c r="O321" s="96"/>
      <c r="P321" s="18"/>
    </row>
    <row r="322" spans="1:16" s="12" customFormat="1">
      <c r="A322" s="78"/>
      <c r="B322" s="226" t="s">
        <v>320</v>
      </c>
      <c r="C322" s="184"/>
      <c r="D322" s="185"/>
      <c r="E322" s="184"/>
      <c r="F322" s="186"/>
      <c r="G322" s="187"/>
      <c r="H322" s="188">
        <f>H320+H321</f>
        <v>501.96516720000011</v>
      </c>
      <c r="I322" s="193">
        <v>360.32100000000003</v>
      </c>
      <c r="J322" s="96"/>
      <c r="K322" s="36"/>
      <c r="L322" s="96"/>
      <c r="M322" s="37"/>
      <c r="N322" s="16"/>
      <c r="O322" s="96"/>
      <c r="P322" s="18"/>
    </row>
    <row r="323" spans="1:16" s="12" customFormat="1" ht="33.75" customHeight="1">
      <c r="A323" s="78"/>
      <c r="B323" s="227" t="s">
        <v>332</v>
      </c>
      <c r="C323" s="184"/>
      <c r="D323" s="185"/>
      <c r="E323" s="184"/>
      <c r="F323" s="186"/>
      <c r="G323" s="187"/>
      <c r="H323" s="188"/>
      <c r="I323" s="193"/>
      <c r="J323" s="96"/>
      <c r="K323" s="36"/>
      <c r="L323" s="96"/>
      <c r="M323" s="37"/>
      <c r="N323" s="16"/>
      <c r="O323" s="96"/>
      <c r="P323" s="18"/>
    </row>
    <row r="324" spans="1:16" s="12" customFormat="1" ht="45">
      <c r="A324" s="78"/>
      <c r="B324" s="119" t="s">
        <v>319</v>
      </c>
      <c r="C324" s="109">
        <v>10</v>
      </c>
      <c r="D324" s="111" t="s">
        <v>352</v>
      </c>
      <c r="E324" s="109">
        <v>0.28399999999999997</v>
      </c>
      <c r="F324" s="113" t="s">
        <v>21</v>
      </c>
      <c r="G324" s="126" t="s">
        <v>321</v>
      </c>
      <c r="H324" s="141">
        <f>(2136*E324)*1.06*1.05*1.051</f>
        <v>709.60631011199996</v>
      </c>
      <c r="I324" s="193"/>
      <c r="J324" s="96"/>
      <c r="K324" s="36"/>
      <c r="L324" s="96"/>
      <c r="M324" s="37"/>
      <c r="N324" s="16"/>
      <c r="O324" s="96"/>
      <c r="P324" s="18"/>
    </row>
    <row r="325" spans="1:16" s="12" customFormat="1">
      <c r="A325" s="78"/>
      <c r="B325" s="180" t="s">
        <v>112</v>
      </c>
      <c r="C325" s="109">
        <v>10</v>
      </c>
      <c r="D325" s="111">
        <v>1</v>
      </c>
      <c r="E325" s="109">
        <f>E324-E326</f>
        <v>7.099999999999998E-2</v>
      </c>
      <c r="F325" s="113" t="s">
        <v>21</v>
      </c>
      <c r="G325" s="126" t="s">
        <v>322</v>
      </c>
      <c r="H325" s="141">
        <f>E325*1428*1.05*1.051</f>
        <v>111.88672739999997</v>
      </c>
      <c r="I325" s="193"/>
      <c r="J325" s="96"/>
      <c r="K325" s="36"/>
      <c r="L325" s="96"/>
      <c r="M325" s="37"/>
      <c r="N325" s="16"/>
      <c r="O325" s="96"/>
      <c r="P325" s="18"/>
    </row>
    <row r="326" spans="1:16" s="12" customFormat="1" ht="60">
      <c r="A326" s="78"/>
      <c r="B326" s="181" t="s">
        <v>20</v>
      </c>
      <c r="C326" s="109">
        <v>10</v>
      </c>
      <c r="D326" s="111" t="s">
        <v>129</v>
      </c>
      <c r="E326" s="109">
        <v>0.21299999999999999</v>
      </c>
      <c r="F326" s="113" t="s">
        <v>21</v>
      </c>
      <c r="G326" s="126" t="s">
        <v>333</v>
      </c>
      <c r="H326" s="141">
        <f>E326*18517</f>
        <v>3944.1210000000001</v>
      </c>
      <c r="I326" s="193"/>
      <c r="J326" s="96"/>
      <c r="K326" s="36"/>
      <c r="L326" s="96"/>
      <c r="M326" s="37"/>
      <c r="N326" s="16"/>
      <c r="O326" s="96"/>
      <c r="P326" s="18"/>
    </row>
    <row r="327" spans="1:16" s="12" customFormat="1">
      <c r="A327" s="78"/>
      <c r="B327" s="226" t="s">
        <v>320</v>
      </c>
      <c r="C327" s="184"/>
      <c r="D327" s="185"/>
      <c r="E327" s="184"/>
      <c r="F327" s="186"/>
      <c r="G327" s="187"/>
      <c r="H327" s="188">
        <f>H324+H325+H326</f>
        <v>4765.6140375120003</v>
      </c>
      <c r="I327" s="228">
        <v>3143.8004897979999</v>
      </c>
      <c r="J327" s="96"/>
      <c r="K327" s="36"/>
      <c r="L327" s="96"/>
      <c r="M327" s="37"/>
      <c r="N327" s="16"/>
      <c r="O327" s="96"/>
      <c r="P327" s="18"/>
    </row>
    <row r="328" spans="1:16" s="12" customFormat="1" ht="36.75" customHeight="1">
      <c r="A328" s="78"/>
      <c r="B328" s="227" t="s">
        <v>334</v>
      </c>
      <c r="C328" s="184"/>
      <c r="D328" s="185"/>
      <c r="E328" s="184"/>
      <c r="F328" s="186"/>
      <c r="G328" s="187"/>
      <c r="H328" s="188"/>
      <c r="I328" s="193"/>
      <c r="J328" s="96"/>
      <c r="K328" s="36"/>
      <c r="L328" s="96"/>
      <c r="M328" s="37"/>
      <c r="N328" s="16"/>
      <c r="O328" s="96"/>
      <c r="P328" s="18"/>
    </row>
    <row r="329" spans="1:16" s="12" customFormat="1" ht="45">
      <c r="A329" s="78"/>
      <c r="B329" s="119" t="s">
        <v>319</v>
      </c>
      <c r="C329" s="109">
        <v>10</v>
      </c>
      <c r="D329" s="111" t="s">
        <v>355</v>
      </c>
      <c r="E329" s="109">
        <v>0.26</v>
      </c>
      <c r="F329" s="113" t="s">
        <v>21</v>
      </c>
      <c r="G329" s="126" t="s">
        <v>335</v>
      </c>
      <c r="H329" s="141">
        <f>(2944*E329)*1.06*1.05*1.051</f>
        <v>895.38339072000019</v>
      </c>
      <c r="I329" s="193"/>
      <c r="J329" s="96"/>
      <c r="K329" s="36"/>
      <c r="L329" s="96"/>
      <c r="M329" s="37"/>
      <c r="N329" s="16"/>
      <c r="O329" s="96"/>
      <c r="P329" s="18"/>
    </row>
    <row r="330" spans="1:16" s="12" customFormat="1">
      <c r="A330" s="78"/>
      <c r="B330" s="180" t="s">
        <v>112</v>
      </c>
      <c r="C330" s="109">
        <v>10</v>
      </c>
      <c r="D330" s="111">
        <v>1</v>
      </c>
      <c r="E330" s="109">
        <f>E329-E331</f>
        <v>6.5000000000000002E-2</v>
      </c>
      <c r="F330" s="113" t="s">
        <v>21</v>
      </c>
      <c r="G330" s="126" t="s">
        <v>322</v>
      </c>
      <c r="H330" s="141">
        <f>E330*1428*1.05*1.051</f>
        <v>102.431511</v>
      </c>
      <c r="I330" s="193"/>
      <c r="J330" s="96"/>
      <c r="K330" s="36"/>
      <c r="L330" s="96"/>
      <c r="M330" s="37"/>
      <c r="N330" s="16"/>
      <c r="O330" s="96"/>
      <c r="P330" s="18"/>
    </row>
    <row r="331" spans="1:16" s="12" customFormat="1" ht="60.75" thickBot="1">
      <c r="A331" s="78"/>
      <c r="B331" s="181" t="s">
        <v>20</v>
      </c>
      <c r="C331" s="109">
        <v>10</v>
      </c>
      <c r="D331" s="111" t="s">
        <v>129</v>
      </c>
      <c r="E331" s="109">
        <f>E329*0.75</f>
        <v>0.19500000000000001</v>
      </c>
      <c r="F331" s="113" t="s">
        <v>21</v>
      </c>
      <c r="G331" s="126" t="s">
        <v>333</v>
      </c>
      <c r="H331" s="141">
        <f>E331*18517</f>
        <v>3610.8150000000001</v>
      </c>
      <c r="I331" s="193"/>
      <c r="J331" s="96"/>
      <c r="K331" s="36"/>
      <c r="L331" s="96"/>
      <c r="M331" s="37"/>
      <c r="N331" s="16"/>
      <c r="O331" s="96"/>
      <c r="P331" s="18"/>
    </row>
    <row r="332" spans="1:16" s="12" customFormat="1">
      <c r="A332" s="78"/>
      <c r="B332" s="226" t="s">
        <v>320</v>
      </c>
      <c r="C332" s="184"/>
      <c r="D332" s="185"/>
      <c r="E332" s="184"/>
      <c r="F332" s="186"/>
      <c r="G332" s="187"/>
      <c r="H332" s="188">
        <f>H329+H330+H331</f>
        <v>4608.6299017199999</v>
      </c>
      <c r="I332" s="229">
        <v>3061.0561289749999</v>
      </c>
      <c r="J332" s="96"/>
      <c r="K332" s="36"/>
      <c r="L332" s="96"/>
      <c r="M332" s="37"/>
      <c r="N332" s="16"/>
      <c r="O332" s="96"/>
      <c r="P332" s="18"/>
    </row>
    <row r="333" spans="1:16" s="12" customFormat="1" ht="35.25" customHeight="1">
      <c r="A333" s="78"/>
      <c r="B333" s="230" t="s">
        <v>336</v>
      </c>
      <c r="C333" s="184"/>
      <c r="D333" s="185"/>
      <c r="E333" s="184"/>
      <c r="F333" s="186"/>
      <c r="G333" s="187"/>
      <c r="H333" s="188"/>
      <c r="I333" s="193"/>
      <c r="J333" s="96"/>
      <c r="K333" s="36"/>
      <c r="L333" s="96"/>
      <c r="M333" s="37"/>
      <c r="N333" s="16"/>
      <c r="O333" s="96"/>
      <c r="P333" s="18"/>
    </row>
    <row r="334" spans="1:16" s="12" customFormat="1" ht="45">
      <c r="A334" s="78"/>
      <c r="B334" s="119" t="s">
        <v>319</v>
      </c>
      <c r="C334" s="109">
        <v>10</v>
      </c>
      <c r="D334" s="111" t="s">
        <v>355</v>
      </c>
      <c r="E334" s="109">
        <v>0.28999999999999998</v>
      </c>
      <c r="F334" s="113" t="s">
        <v>21</v>
      </c>
      <c r="G334" s="126" t="s">
        <v>335</v>
      </c>
      <c r="H334" s="141">
        <f>(2944*E334)*1.06*1.05*1.051</f>
        <v>998.69685888000004</v>
      </c>
      <c r="I334" s="193"/>
      <c r="J334" s="96"/>
      <c r="K334" s="36"/>
      <c r="L334" s="96"/>
      <c r="M334" s="37"/>
      <c r="N334" s="16"/>
      <c r="O334" s="96"/>
      <c r="P334" s="18"/>
    </row>
    <row r="335" spans="1:16" s="12" customFormat="1">
      <c r="A335" s="78"/>
      <c r="B335" s="180" t="s">
        <v>112</v>
      </c>
      <c r="C335" s="109">
        <v>10</v>
      </c>
      <c r="D335" s="111">
        <v>1</v>
      </c>
      <c r="E335" s="109">
        <f>E334-E336</f>
        <v>7.2500000000000009E-2</v>
      </c>
      <c r="F335" s="113" t="s">
        <v>21</v>
      </c>
      <c r="G335" s="126" t="s">
        <v>322</v>
      </c>
      <c r="H335" s="141">
        <f>E335*1428*1.05*1.051</f>
        <v>114.25053150000001</v>
      </c>
      <c r="I335" s="193"/>
      <c r="J335" s="96"/>
      <c r="K335" s="36"/>
      <c r="L335" s="96"/>
      <c r="M335" s="37"/>
      <c r="N335" s="16"/>
      <c r="O335" s="96"/>
      <c r="P335" s="18"/>
    </row>
    <row r="336" spans="1:16" s="12" customFormat="1" ht="60">
      <c r="A336" s="78"/>
      <c r="B336" s="181" t="s">
        <v>20</v>
      </c>
      <c r="C336" s="109">
        <v>10</v>
      </c>
      <c r="D336" s="111" t="s">
        <v>129</v>
      </c>
      <c r="E336" s="109">
        <f>E334*0.75</f>
        <v>0.21749999999999997</v>
      </c>
      <c r="F336" s="113" t="s">
        <v>21</v>
      </c>
      <c r="G336" s="126" t="s">
        <v>333</v>
      </c>
      <c r="H336" s="141">
        <f>E336*18517</f>
        <v>4027.4474999999993</v>
      </c>
      <c r="I336" s="193"/>
      <c r="J336" s="96"/>
      <c r="K336" s="36"/>
      <c r="L336" s="96"/>
      <c r="M336" s="37"/>
      <c r="N336" s="16"/>
      <c r="O336" s="96"/>
      <c r="P336" s="18"/>
    </row>
    <row r="337" spans="1:16" s="12" customFormat="1" ht="21" customHeight="1">
      <c r="A337" s="78"/>
      <c r="B337" s="226" t="s">
        <v>320</v>
      </c>
      <c r="C337" s="184"/>
      <c r="D337" s="185"/>
      <c r="E337" s="184"/>
      <c r="F337" s="186"/>
      <c r="G337" s="187"/>
      <c r="H337" s="188">
        <f>H334+H335+H336</f>
        <v>5140.3948903799992</v>
      </c>
      <c r="I337" s="231">
        <v>3414.2549130874995</v>
      </c>
      <c r="J337" s="96"/>
      <c r="K337" s="36"/>
      <c r="L337" s="96"/>
      <c r="M337" s="37"/>
      <c r="N337" s="16"/>
      <c r="O337" s="96"/>
      <c r="P337" s="18"/>
    </row>
    <row r="338" spans="1:16" s="12" customFormat="1" ht="30">
      <c r="A338" s="78"/>
      <c r="B338" s="232" t="s">
        <v>337</v>
      </c>
      <c r="C338" s="184"/>
      <c r="D338" s="185"/>
      <c r="E338" s="184"/>
      <c r="F338" s="186"/>
      <c r="G338" s="187"/>
      <c r="H338" s="188"/>
      <c r="I338" s="193"/>
      <c r="J338" s="96"/>
      <c r="K338" s="36"/>
      <c r="L338" s="96"/>
      <c r="M338" s="37"/>
      <c r="N338" s="16"/>
      <c r="O338" s="96"/>
      <c r="P338" s="18"/>
    </row>
    <row r="339" spans="1:16" s="12" customFormat="1" ht="45">
      <c r="A339" s="78"/>
      <c r="B339" s="119" t="s">
        <v>319</v>
      </c>
      <c r="C339" s="109">
        <v>10</v>
      </c>
      <c r="D339" s="111" t="s">
        <v>352</v>
      </c>
      <c r="E339" s="109">
        <v>1.0069999999999999</v>
      </c>
      <c r="F339" s="113" t="s">
        <v>21</v>
      </c>
      <c r="G339" s="126" t="s">
        <v>321</v>
      </c>
      <c r="H339" s="141">
        <f>(2136*E339)*1.06*1.05*1.051</f>
        <v>2516.1040643759998</v>
      </c>
      <c r="I339" s="193"/>
      <c r="J339" s="96"/>
      <c r="K339" s="36"/>
      <c r="L339" s="96"/>
      <c r="M339" s="37"/>
      <c r="N339" s="16"/>
      <c r="O339" s="96"/>
      <c r="P339" s="18"/>
    </row>
    <row r="340" spans="1:16" s="12" customFormat="1">
      <c r="A340" s="78"/>
      <c r="B340" s="180" t="s">
        <v>112</v>
      </c>
      <c r="C340" s="109">
        <v>10</v>
      </c>
      <c r="D340" s="111">
        <v>1</v>
      </c>
      <c r="E340" s="109">
        <f>E339-E341</f>
        <v>0.50349999999999995</v>
      </c>
      <c r="F340" s="113" t="s">
        <v>21</v>
      </c>
      <c r="G340" s="126" t="s">
        <v>322</v>
      </c>
      <c r="H340" s="141">
        <f>E340*1428*1.05*1.051</f>
        <v>793.45024289999992</v>
      </c>
      <c r="I340" s="193"/>
      <c r="J340" s="96"/>
      <c r="K340" s="36"/>
      <c r="L340" s="96"/>
      <c r="M340" s="37"/>
      <c r="N340" s="16"/>
      <c r="O340" s="96"/>
      <c r="P340" s="18"/>
    </row>
    <row r="341" spans="1:16" s="12" customFormat="1" ht="60">
      <c r="A341" s="78"/>
      <c r="B341" s="181" t="s">
        <v>20</v>
      </c>
      <c r="C341" s="109">
        <v>10</v>
      </c>
      <c r="D341" s="111" t="s">
        <v>129</v>
      </c>
      <c r="E341" s="109">
        <f>E339*0.5</f>
        <v>0.50349999999999995</v>
      </c>
      <c r="F341" s="113" t="s">
        <v>21</v>
      </c>
      <c r="G341" s="126" t="s">
        <v>333</v>
      </c>
      <c r="H341" s="141">
        <f>E341*18517</f>
        <v>9323.3094999999994</v>
      </c>
      <c r="I341" s="122"/>
      <c r="J341" s="96"/>
      <c r="K341" s="36"/>
      <c r="L341" s="96"/>
      <c r="M341" s="37"/>
      <c r="N341" s="16"/>
      <c r="O341" s="96"/>
      <c r="P341" s="18"/>
    </row>
    <row r="342" spans="1:16" s="12" customFormat="1">
      <c r="A342" s="78"/>
      <c r="B342" s="226" t="s">
        <v>320</v>
      </c>
      <c r="C342" s="184"/>
      <c r="D342" s="185"/>
      <c r="E342" s="184"/>
      <c r="F342" s="186"/>
      <c r="G342" s="187"/>
      <c r="H342" s="188">
        <f>H339+H340+H341</f>
        <v>12632.863807275999</v>
      </c>
      <c r="I342" s="233">
        <v>8465.0769018829997</v>
      </c>
      <c r="J342" s="96"/>
      <c r="K342" s="36"/>
      <c r="L342" s="96"/>
      <c r="M342" s="37"/>
      <c r="N342" s="16"/>
      <c r="O342" s="96"/>
      <c r="P342" s="18"/>
    </row>
    <row r="343" spans="1:16" s="12" customFormat="1" ht="60">
      <c r="A343" s="78"/>
      <c r="B343" s="142" t="s">
        <v>338</v>
      </c>
      <c r="C343" s="184"/>
      <c r="D343" s="185"/>
      <c r="E343" s="184"/>
      <c r="F343" s="186"/>
      <c r="G343" s="187"/>
      <c r="H343" s="188"/>
      <c r="I343" s="122"/>
      <c r="J343" s="96"/>
      <c r="K343" s="36"/>
      <c r="L343" s="96"/>
      <c r="M343" s="37"/>
      <c r="N343" s="16"/>
      <c r="O343" s="96"/>
      <c r="P343" s="18"/>
    </row>
    <row r="344" spans="1:16" s="12" customFormat="1" ht="45">
      <c r="A344" s="78"/>
      <c r="B344" s="119" t="s">
        <v>319</v>
      </c>
      <c r="C344" s="109">
        <v>10</v>
      </c>
      <c r="D344" s="111" t="s">
        <v>354</v>
      </c>
      <c r="E344" s="109">
        <v>7.0000000000000007E-2</v>
      </c>
      <c r="F344" s="113" t="s">
        <v>21</v>
      </c>
      <c r="G344" s="126" t="s">
        <v>330</v>
      </c>
      <c r="H344" s="141">
        <f>(2058*E344)*1.06*1.05*1.051</f>
        <v>168.51605778000004</v>
      </c>
      <c r="I344" s="122"/>
      <c r="J344" s="96"/>
      <c r="K344" s="36"/>
      <c r="L344" s="96"/>
      <c r="M344" s="37"/>
      <c r="N344" s="16"/>
      <c r="O344" s="96"/>
      <c r="P344" s="18"/>
    </row>
    <row r="345" spans="1:16" s="12" customFormat="1">
      <c r="A345" s="78"/>
      <c r="B345" s="180" t="s">
        <v>112</v>
      </c>
      <c r="C345" s="109">
        <v>10</v>
      </c>
      <c r="D345" s="111">
        <v>1</v>
      </c>
      <c r="E345" s="109">
        <v>7.0000000000000007E-2</v>
      </c>
      <c r="F345" s="113" t="s">
        <v>21</v>
      </c>
      <c r="G345" s="126" t="s">
        <v>322</v>
      </c>
      <c r="H345" s="141">
        <f>E345*1428*1.05*1.051</f>
        <v>110.31085800000001</v>
      </c>
      <c r="I345" s="122"/>
      <c r="J345" s="96"/>
      <c r="K345" s="36"/>
      <c r="L345" s="96"/>
      <c r="M345" s="37"/>
      <c r="N345" s="16"/>
      <c r="O345" s="96"/>
      <c r="P345" s="18"/>
    </row>
    <row r="346" spans="1:16" s="12" customFormat="1">
      <c r="A346" s="78"/>
      <c r="B346" s="226" t="s">
        <v>320</v>
      </c>
      <c r="C346" s="184"/>
      <c r="D346" s="185"/>
      <c r="E346" s="184"/>
      <c r="F346" s="186"/>
      <c r="G346" s="187"/>
      <c r="H346" s="188">
        <f>H344+H345</f>
        <v>278.82691578000004</v>
      </c>
      <c r="I346" s="233">
        <v>197.67074523000002</v>
      </c>
      <c r="J346" s="96"/>
      <c r="K346" s="36"/>
      <c r="L346" s="96"/>
      <c r="M346" s="37"/>
      <c r="N346" s="16"/>
      <c r="O346" s="96"/>
      <c r="P346" s="18"/>
    </row>
    <row r="347" spans="1:16" s="12" customFormat="1" ht="60">
      <c r="A347" s="78"/>
      <c r="B347" s="142" t="s">
        <v>339</v>
      </c>
      <c r="C347" s="184"/>
      <c r="D347" s="185"/>
      <c r="E347" s="184"/>
      <c r="F347" s="186"/>
      <c r="G347" s="187"/>
      <c r="H347" s="188"/>
      <c r="I347" s="233"/>
      <c r="J347" s="96"/>
      <c r="K347" s="36"/>
      <c r="L347" s="96"/>
      <c r="M347" s="37"/>
      <c r="N347" s="16"/>
      <c r="O347" s="96"/>
      <c r="P347" s="18"/>
    </row>
    <row r="348" spans="1:16" s="12" customFormat="1" ht="60">
      <c r="A348" s="78"/>
      <c r="B348" s="142" t="s">
        <v>338</v>
      </c>
      <c r="C348" s="184"/>
      <c r="D348" s="185"/>
      <c r="E348" s="184"/>
      <c r="F348" s="186"/>
      <c r="G348" s="187"/>
      <c r="H348" s="188"/>
      <c r="I348" s="233"/>
      <c r="J348" s="96"/>
      <c r="K348" s="36"/>
      <c r="L348" s="96"/>
      <c r="M348" s="37"/>
      <c r="N348" s="16"/>
      <c r="O348" s="96"/>
      <c r="P348" s="18"/>
    </row>
    <row r="349" spans="1:16" s="12" customFormat="1" ht="45">
      <c r="A349" s="78"/>
      <c r="B349" s="119" t="s">
        <v>319</v>
      </c>
      <c r="C349" s="109">
        <v>10</v>
      </c>
      <c r="D349" s="111" t="s">
        <v>354</v>
      </c>
      <c r="E349" s="109">
        <v>0.05</v>
      </c>
      <c r="F349" s="113" t="s">
        <v>21</v>
      </c>
      <c r="G349" s="126" t="s">
        <v>330</v>
      </c>
      <c r="H349" s="141">
        <f>(2058*E349)*1.06*1.05*1.051</f>
        <v>120.36861270000001</v>
      </c>
      <c r="I349" s="233"/>
      <c r="J349" s="96"/>
      <c r="K349" s="36"/>
      <c r="L349" s="96"/>
      <c r="M349" s="37"/>
      <c r="N349" s="16"/>
      <c r="O349" s="96"/>
      <c r="P349" s="18"/>
    </row>
    <row r="350" spans="1:16" s="12" customFormat="1">
      <c r="A350" s="78"/>
      <c r="B350" s="180" t="s">
        <v>112</v>
      </c>
      <c r="C350" s="109">
        <v>10</v>
      </c>
      <c r="D350" s="111">
        <v>1</v>
      </c>
      <c r="E350" s="109">
        <v>0.05</v>
      </c>
      <c r="F350" s="113" t="s">
        <v>21</v>
      </c>
      <c r="G350" s="126" t="s">
        <v>322</v>
      </c>
      <c r="H350" s="141">
        <f>E350*1428*1.05*1.051</f>
        <v>78.793470000000013</v>
      </c>
      <c r="I350" s="233"/>
      <c r="J350" s="96"/>
      <c r="K350" s="36"/>
      <c r="L350" s="96"/>
      <c r="M350" s="37"/>
      <c r="N350" s="16"/>
      <c r="O350" s="96"/>
      <c r="P350" s="18"/>
    </row>
    <row r="351" spans="1:16" s="12" customFormat="1">
      <c r="A351" s="78"/>
      <c r="B351" s="226" t="s">
        <v>320</v>
      </c>
      <c r="C351" s="184"/>
      <c r="D351" s="185"/>
      <c r="E351" s="184"/>
      <c r="F351" s="186"/>
      <c r="G351" s="187"/>
      <c r="H351" s="188">
        <f>H349+H350</f>
        <v>199.16208270000004</v>
      </c>
      <c r="I351" s="233">
        <v>141.19338945000001</v>
      </c>
      <c r="J351" s="96"/>
      <c r="K351" s="36"/>
      <c r="L351" s="96"/>
      <c r="M351" s="37"/>
      <c r="N351" s="16"/>
      <c r="O351" s="96"/>
      <c r="P351" s="18"/>
    </row>
    <row r="352" spans="1:16" s="12" customFormat="1" ht="31.5" customHeight="1">
      <c r="A352" s="78"/>
      <c r="B352" s="147" t="s">
        <v>340</v>
      </c>
      <c r="C352" s="184"/>
      <c r="D352" s="185"/>
      <c r="E352" s="184"/>
      <c r="F352" s="186"/>
      <c r="G352" s="187"/>
      <c r="H352" s="188"/>
      <c r="I352" s="233"/>
      <c r="J352" s="96"/>
      <c r="K352" s="36"/>
      <c r="L352" s="96"/>
      <c r="M352" s="37"/>
      <c r="N352" s="16"/>
      <c r="O352" s="96"/>
      <c r="P352" s="18"/>
    </row>
    <row r="353" spans="1:16" s="12" customFormat="1" ht="45">
      <c r="A353" s="78"/>
      <c r="B353" s="119" t="s">
        <v>319</v>
      </c>
      <c r="C353" s="109">
        <v>10</v>
      </c>
      <c r="D353" s="111" t="s">
        <v>354</v>
      </c>
      <c r="E353" s="109">
        <v>0.41299999999999998</v>
      </c>
      <c r="F353" s="113" t="s">
        <v>21</v>
      </c>
      <c r="G353" s="126" t="s">
        <v>330</v>
      </c>
      <c r="H353" s="141">
        <f>(2058*E353)*1.06*1.05*1.051</f>
        <v>994.24474090199999</v>
      </c>
      <c r="I353" s="233"/>
      <c r="J353" s="96"/>
      <c r="K353" s="36"/>
      <c r="L353" s="96"/>
      <c r="M353" s="37"/>
      <c r="N353" s="16"/>
      <c r="O353" s="96"/>
      <c r="P353" s="18"/>
    </row>
    <row r="354" spans="1:16" s="12" customFormat="1">
      <c r="A354" s="78"/>
      <c r="B354" s="180" t="s">
        <v>112</v>
      </c>
      <c r="C354" s="109">
        <v>10</v>
      </c>
      <c r="D354" s="111">
        <v>1</v>
      </c>
      <c r="E354" s="109">
        <f>E353*0.5</f>
        <v>0.20649999999999999</v>
      </c>
      <c r="F354" s="113" t="s">
        <v>21</v>
      </c>
      <c r="G354" s="126" t="s">
        <v>322</v>
      </c>
      <c r="H354" s="141">
        <f>E354*1428*1.05*1.051</f>
        <v>325.41703109999997</v>
      </c>
      <c r="I354" s="233"/>
      <c r="J354" s="96"/>
      <c r="K354" s="36"/>
      <c r="L354" s="96"/>
      <c r="M354" s="37"/>
      <c r="N354" s="16"/>
      <c r="O354" s="96"/>
      <c r="P354" s="18"/>
    </row>
    <row r="355" spans="1:16" s="12" customFormat="1" ht="60">
      <c r="A355" s="78"/>
      <c r="B355" s="181" t="s">
        <v>20</v>
      </c>
      <c r="C355" s="109">
        <v>10</v>
      </c>
      <c r="D355" s="111" t="s">
        <v>129</v>
      </c>
      <c r="E355" s="109">
        <f>E353-E354</f>
        <v>0.20649999999999999</v>
      </c>
      <c r="F355" s="113" t="s">
        <v>21</v>
      </c>
      <c r="G355" s="126" t="s">
        <v>313</v>
      </c>
      <c r="H355" s="141">
        <f>E355*15329</f>
        <v>3165.4384999999997</v>
      </c>
      <c r="I355" s="233"/>
      <c r="J355" s="96"/>
      <c r="K355" s="36"/>
      <c r="L355" s="96"/>
      <c r="M355" s="37"/>
      <c r="N355" s="16"/>
      <c r="O355" s="96"/>
      <c r="P355" s="18"/>
    </row>
    <row r="356" spans="1:16" s="12" customFormat="1">
      <c r="A356" s="78"/>
      <c r="B356" s="226" t="s">
        <v>320</v>
      </c>
      <c r="C356" s="184"/>
      <c r="D356" s="185"/>
      <c r="E356" s="184"/>
      <c r="F356" s="186"/>
      <c r="G356" s="187"/>
      <c r="H356" s="188">
        <f>H353+H354+H355</f>
        <v>4485.1002720019997</v>
      </c>
      <c r="I356" s="233">
        <v>3144.2523204784998</v>
      </c>
      <c r="J356" s="96"/>
      <c r="K356" s="36"/>
      <c r="L356" s="96"/>
      <c r="M356" s="37"/>
      <c r="N356" s="16"/>
      <c r="O356" s="96"/>
      <c r="P356" s="18"/>
    </row>
    <row r="357" spans="1:16" s="12" customFormat="1" ht="21.75" customHeight="1">
      <c r="A357" s="78"/>
      <c r="B357" s="147" t="s">
        <v>341</v>
      </c>
      <c r="C357" s="184"/>
      <c r="D357" s="185"/>
      <c r="E357" s="184"/>
      <c r="F357" s="186"/>
      <c r="G357" s="187"/>
      <c r="H357" s="188"/>
      <c r="I357" s="233"/>
      <c r="J357" s="96"/>
      <c r="K357" s="36"/>
      <c r="L357" s="96"/>
      <c r="M357" s="37"/>
      <c r="N357" s="16"/>
      <c r="O357" s="96"/>
      <c r="P357" s="18"/>
    </row>
    <row r="358" spans="1:16" s="12" customFormat="1" ht="45">
      <c r="A358" s="78"/>
      <c r="B358" s="119" t="s">
        <v>319</v>
      </c>
      <c r="C358" s="109">
        <v>10</v>
      </c>
      <c r="D358" s="111" t="s">
        <v>352</v>
      </c>
      <c r="E358" s="109">
        <v>0.63500000000000001</v>
      </c>
      <c r="F358" s="113" t="s">
        <v>21</v>
      </c>
      <c r="G358" s="126" t="s">
        <v>321</v>
      </c>
      <c r="H358" s="141">
        <f>(2136*E358)*1.06*1.05*1.051</f>
        <v>1586.6197426800002</v>
      </c>
      <c r="I358" s="233"/>
      <c r="J358" s="96"/>
      <c r="K358" s="36"/>
      <c r="L358" s="96"/>
      <c r="M358" s="37"/>
      <c r="N358" s="16"/>
      <c r="O358" s="96"/>
      <c r="P358" s="18"/>
    </row>
    <row r="359" spans="1:16" s="12" customFormat="1">
      <c r="A359" s="78"/>
      <c r="B359" s="180" t="s">
        <v>112</v>
      </c>
      <c r="C359" s="109">
        <v>10</v>
      </c>
      <c r="D359" s="111">
        <v>1</v>
      </c>
      <c r="E359" s="109">
        <f>E358-E360</f>
        <v>0.3175</v>
      </c>
      <c r="F359" s="113" t="s">
        <v>21</v>
      </c>
      <c r="G359" s="126" t="s">
        <v>322</v>
      </c>
      <c r="H359" s="141">
        <f>E359*1428*1.05*1.051</f>
        <v>500.33853449999998</v>
      </c>
      <c r="I359" s="233"/>
      <c r="J359" s="96"/>
      <c r="K359" s="36"/>
      <c r="L359" s="96"/>
      <c r="M359" s="37"/>
      <c r="N359" s="16"/>
      <c r="O359" s="96"/>
      <c r="P359" s="18"/>
    </row>
    <row r="360" spans="1:16" s="12" customFormat="1" ht="60">
      <c r="A360" s="78"/>
      <c r="B360" s="181" t="s">
        <v>20</v>
      </c>
      <c r="C360" s="109">
        <v>10</v>
      </c>
      <c r="D360" s="111" t="s">
        <v>129</v>
      </c>
      <c r="E360" s="109">
        <f>E358*0.5</f>
        <v>0.3175</v>
      </c>
      <c r="F360" s="113" t="s">
        <v>21</v>
      </c>
      <c r="G360" s="126" t="s">
        <v>333</v>
      </c>
      <c r="H360" s="141">
        <f>E360*18517</f>
        <v>5879.1475</v>
      </c>
      <c r="I360" s="233"/>
      <c r="J360" s="96"/>
      <c r="K360" s="36"/>
      <c r="L360" s="96"/>
      <c r="M360" s="37"/>
      <c r="N360" s="16"/>
      <c r="O360" s="96"/>
      <c r="P360" s="18"/>
    </row>
    <row r="361" spans="1:16" s="12" customFormat="1">
      <c r="A361" s="78"/>
      <c r="B361" s="226" t="s">
        <v>320</v>
      </c>
      <c r="C361" s="184"/>
      <c r="D361" s="185"/>
      <c r="E361" s="184"/>
      <c r="F361" s="186"/>
      <c r="G361" s="187"/>
      <c r="H361" s="188">
        <f>H358+H359+H360</f>
        <v>7966.1057771800006</v>
      </c>
      <c r="I361" s="233">
        <v>5337.9581258150001</v>
      </c>
      <c r="J361" s="96"/>
      <c r="K361" s="36"/>
      <c r="L361" s="96"/>
      <c r="M361" s="37"/>
      <c r="N361" s="16"/>
      <c r="O361" s="96"/>
      <c r="P361" s="18"/>
    </row>
    <row r="362" spans="1:16" s="12" customFormat="1" ht="35.25" customHeight="1">
      <c r="A362" s="78"/>
      <c r="B362" s="234" t="s">
        <v>342</v>
      </c>
      <c r="C362" s="184"/>
      <c r="D362" s="185"/>
      <c r="E362" s="184"/>
      <c r="F362" s="186"/>
      <c r="G362" s="187"/>
      <c r="H362" s="188"/>
      <c r="I362" s="233"/>
      <c r="J362" s="96"/>
      <c r="K362" s="36"/>
      <c r="L362" s="96"/>
      <c r="M362" s="37"/>
      <c r="N362" s="16"/>
      <c r="O362" s="96"/>
      <c r="P362" s="18"/>
    </row>
    <row r="363" spans="1:16" s="12" customFormat="1" ht="45">
      <c r="A363" s="78"/>
      <c r="B363" s="119" t="s">
        <v>319</v>
      </c>
      <c r="C363" s="109">
        <v>10</v>
      </c>
      <c r="D363" s="111" t="s">
        <v>352</v>
      </c>
      <c r="E363" s="109">
        <v>0.49</v>
      </c>
      <c r="F363" s="113" t="s">
        <v>21</v>
      </c>
      <c r="G363" s="126" t="s">
        <v>321</v>
      </c>
      <c r="H363" s="141">
        <f>(2136*E363)*1.06*1.05*1.051</f>
        <v>1224.3207463199999</v>
      </c>
      <c r="I363" s="233"/>
      <c r="J363" s="96"/>
      <c r="K363" s="36"/>
      <c r="L363" s="96"/>
      <c r="M363" s="37"/>
      <c r="N363" s="16"/>
      <c r="O363" s="96"/>
      <c r="P363" s="18"/>
    </row>
    <row r="364" spans="1:16" s="12" customFormat="1">
      <c r="A364" s="78"/>
      <c r="B364" s="180" t="s">
        <v>112</v>
      </c>
      <c r="C364" s="109">
        <v>10</v>
      </c>
      <c r="D364" s="111">
        <v>1</v>
      </c>
      <c r="E364" s="109">
        <f>E363-E365</f>
        <v>0.245</v>
      </c>
      <c r="F364" s="113" t="s">
        <v>21</v>
      </c>
      <c r="G364" s="126" t="s">
        <v>322</v>
      </c>
      <c r="H364" s="141">
        <f>E364*1428*1.05*1.051</f>
        <v>386.08800299999996</v>
      </c>
      <c r="I364" s="233"/>
      <c r="J364" s="96"/>
      <c r="K364" s="36"/>
      <c r="L364" s="96"/>
      <c r="M364" s="37"/>
      <c r="N364" s="16"/>
      <c r="O364" s="96"/>
      <c r="P364" s="18"/>
    </row>
    <row r="365" spans="1:16" s="12" customFormat="1" ht="60">
      <c r="A365" s="78"/>
      <c r="B365" s="181" t="s">
        <v>20</v>
      </c>
      <c r="C365" s="109">
        <v>10</v>
      </c>
      <c r="D365" s="111" t="s">
        <v>129</v>
      </c>
      <c r="E365" s="109">
        <f>E363*0.5</f>
        <v>0.245</v>
      </c>
      <c r="F365" s="113" t="s">
        <v>21</v>
      </c>
      <c r="G365" s="126" t="s">
        <v>333</v>
      </c>
      <c r="H365" s="141">
        <f>E365*18517</f>
        <v>4536.665</v>
      </c>
      <c r="I365" s="233"/>
      <c r="J365" s="96"/>
      <c r="K365" s="36"/>
      <c r="L365" s="96"/>
      <c r="M365" s="37"/>
      <c r="N365" s="16"/>
      <c r="O365" s="96"/>
      <c r="P365" s="18"/>
    </row>
    <row r="366" spans="1:16" s="12" customFormat="1">
      <c r="A366" s="78"/>
      <c r="B366" s="226" t="s">
        <v>320</v>
      </c>
      <c r="C366" s="184"/>
      <c r="D366" s="185"/>
      <c r="E366" s="184"/>
      <c r="F366" s="186"/>
      <c r="G366" s="187"/>
      <c r="H366" s="188">
        <f>H363+H364+H365</f>
        <v>6147.0737493199995</v>
      </c>
      <c r="I366" s="233">
        <v>4119.0543018099997</v>
      </c>
      <c r="J366" s="96"/>
      <c r="K366" s="36"/>
      <c r="L366" s="96"/>
      <c r="M366" s="37"/>
      <c r="N366" s="16"/>
      <c r="O366" s="96"/>
      <c r="P366" s="18"/>
    </row>
    <row r="367" spans="1:16" s="12" customFormat="1" ht="35.25" customHeight="1">
      <c r="A367" s="78"/>
      <c r="B367" s="234" t="s">
        <v>343</v>
      </c>
      <c r="C367" s="184"/>
      <c r="D367" s="185"/>
      <c r="E367" s="184"/>
      <c r="F367" s="186"/>
      <c r="G367" s="187"/>
      <c r="H367" s="188"/>
      <c r="I367" s="233"/>
      <c r="J367" s="96"/>
      <c r="K367" s="36"/>
      <c r="L367" s="96"/>
      <c r="M367" s="37"/>
      <c r="N367" s="16"/>
      <c r="O367" s="96"/>
      <c r="P367" s="18"/>
    </row>
    <row r="368" spans="1:16" s="12" customFormat="1" ht="45">
      <c r="A368" s="78"/>
      <c r="B368" s="119" t="s">
        <v>319</v>
      </c>
      <c r="C368" s="109">
        <v>10</v>
      </c>
      <c r="D368" s="111" t="s">
        <v>352</v>
      </c>
      <c r="E368" s="109">
        <v>0.45500000000000002</v>
      </c>
      <c r="F368" s="113" t="s">
        <v>21</v>
      </c>
      <c r="G368" s="126" t="s">
        <v>321</v>
      </c>
      <c r="H368" s="141">
        <f>(2136*E368)*1.06*1.05*1.051</f>
        <v>1136.8692644400001</v>
      </c>
      <c r="I368" s="233"/>
      <c r="J368" s="96"/>
      <c r="K368" s="36"/>
      <c r="L368" s="96"/>
      <c r="M368" s="37"/>
      <c r="N368" s="16"/>
      <c r="O368" s="96"/>
      <c r="P368" s="18"/>
    </row>
    <row r="369" spans="1:16" s="12" customFormat="1">
      <c r="A369" s="78"/>
      <c r="B369" s="180" t="s">
        <v>112</v>
      </c>
      <c r="C369" s="109">
        <v>10</v>
      </c>
      <c r="D369" s="111">
        <v>1</v>
      </c>
      <c r="E369" s="109">
        <f>E368-E370</f>
        <v>0.22750000000000001</v>
      </c>
      <c r="F369" s="113" t="s">
        <v>21</v>
      </c>
      <c r="G369" s="126" t="s">
        <v>322</v>
      </c>
      <c r="H369" s="141">
        <f>E369*1428*1.05*1.051</f>
        <v>358.5102885</v>
      </c>
      <c r="I369" s="233"/>
      <c r="J369" s="96"/>
      <c r="K369" s="36"/>
      <c r="L369" s="96"/>
      <c r="M369" s="37"/>
      <c r="N369" s="16"/>
      <c r="O369" s="96"/>
      <c r="P369" s="18"/>
    </row>
    <row r="370" spans="1:16" s="12" customFormat="1" ht="60">
      <c r="A370" s="78"/>
      <c r="B370" s="181" t="s">
        <v>20</v>
      </c>
      <c r="C370" s="109">
        <v>10</v>
      </c>
      <c r="D370" s="111" t="s">
        <v>129</v>
      </c>
      <c r="E370" s="109">
        <f>E368*0.5</f>
        <v>0.22750000000000001</v>
      </c>
      <c r="F370" s="113" t="s">
        <v>21</v>
      </c>
      <c r="G370" s="126" t="s">
        <v>333</v>
      </c>
      <c r="H370" s="141">
        <f>E370*18517</f>
        <v>4212.6175000000003</v>
      </c>
      <c r="I370" s="233"/>
      <c r="J370" s="96"/>
      <c r="K370" s="36"/>
      <c r="L370" s="96"/>
      <c r="M370" s="37"/>
      <c r="N370" s="16"/>
      <c r="O370" s="96"/>
      <c r="P370" s="18"/>
    </row>
    <row r="371" spans="1:16" s="12" customFormat="1">
      <c r="A371" s="78"/>
      <c r="B371" s="226" t="s">
        <v>320</v>
      </c>
      <c r="C371" s="184"/>
      <c r="D371" s="185"/>
      <c r="E371" s="184"/>
      <c r="F371" s="186"/>
      <c r="G371" s="187"/>
      <c r="H371" s="188">
        <f>H368+H369+H370</f>
        <v>5707.9970529399998</v>
      </c>
      <c r="I371" s="233">
        <v>3824.8361373950002</v>
      </c>
      <c r="J371" s="96"/>
      <c r="K371" s="36"/>
      <c r="L371" s="96"/>
      <c r="M371" s="37"/>
      <c r="N371" s="16"/>
      <c r="O371" s="96"/>
      <c r="P371" s="18"/>
    </row>
    <row r="372" spans="1:16" s="12" customFormat="1" ht="36.75" customHeight="1">
      <c r="A372" s="78"/>
      <c r="B372" s="234" t="s">
        <v>344</v>
      </c>
      <c r="C372" s="184"/>
      <c r="D372" s="185"/>
      <c r="E372" s="184"/>
      <c r="F372" s="186"/>
      <c r="G372" s="187"/>
      <c r="H372" s="188"/>
      <c r="I372" s="233"/>
      <c r="J372" s="96"/>
      <c r="K372" s="36"/>
      <c r="L372" s="96"/>
      <c r="M372" s="37"/>
      <c r="N372" s="16"/>
      <c r="O372" s="96"/>
      <c r="P372" s="18"/>
    </row>
    <row r="373" spans="1:16" s="173" customFormat="1" ht="46.5" customHeight="1">
      <c r="A373" s="162"/>
      <c r="B373" s="119" t="s">
        <v>319</v>
      </c>
      <c r="C373" s="109">
        <v>10</v>
      </c>
      <c r="D373" s="111" t="s">
        <v>352</v>
      </c>
      <c r="E373" s="109">
        <v>0.32</v>
      </c>
      <c r="F373" s="113" t="s">
        <v>21</v>
      </c>
      <c r="G373" s="126" t="s">
        <v>321</v>
      </c>
      <c r="H373" s="141">
        <f>(2136*E373)*1.06*1.05*1.051</f>
        <v>799.55640576000008</v>
      </c>
      <c r="I373" s="233"/>
      <c r="J373" s="168"/>
      <c r="K373" s="169"/>
      <c r="L373" s="168"/>
      <c r="M373" s="170"/>
      <c r="N373" s="171"/>
      <c r="O373" s="168"/>
      <c r="P373" s="172"/>
    </row>
    <row r="374" spans="1:16" s="173" customFormat="1" ht="36.75" customHeight="1">
      <c r="A374" s="162"/>
      <c r="B374" s="180" t="s">
        <v>112</v>
      </c>
      <c r="C374" s="109">
        <v>10</v>
      </c>
      <c r="D374" s="111">
        <v>1</v>
      </c>
      <c r="E374" s="109">
        <f>E373-E375</f>
        <v>0.16</v>
      </c>
      <c r="F374" s="113" t="s">
        <v>21</v>
      </c>
      <c r="G374" s="126" t="s">
        <v>322</v>
      </c>
      <c r="H374" s="141">
        <f>E374*1428*1.05*1.051</f>
        <v>252.139104</v>
      </c>
      <c r="I374" s="233"/>
      <c r="J374" s="168"/>
      <c r="K374" s="169"/>
      <c r="L374" s="168"/>
      <c r="M374" s="170"/>
      <c r="N374" s="171"/>
      <c r="O374" s="168"/>
      <c r="P374" s="172"/>
    </row>
    <row r="375" spans="1:16" s="173" customFormat="1" ht="36.75" customHeight="1">
      <c r="A375" s="162"/>
      <c r="B375" s="181" t="s">
        <v>20</v>
      </c>
      <c r="C375" s="109">
        <v>10</v>
      </c>
      <c r="D375" s="111" t="s">
        <v>129</v>
      </c>
      <c r="E375" s="109">
        <f>E373*0.5</f>
        <v>0.16</v>
      </c>
      <c r="F375" s="113" t="s">
        <v>21</v>
      </c>
      <c r="G375" s="126" t="s">
        <v>333</v>
      </c>
      <c r="H375" s="141">
        <f>E375*18517</f>
        <v>2962.7200000000003</v>
      </c>
      <c r="I375" s="233"/>
      <c r="J375" s="168"/>
      <c r="K375" s="169"/>
      <c r="L375" s="168"/>
      <c r="M375" s="170"/>
      <c r="N375" s="171"/>
      <c r="O375" s="168"/>
      <c r="P375" s="172"/>
    </row>
    <row r="376" spans="1:16" s="173" customFormat="1" ht="36.75" customHeight="1">
      <c r="A376" s="162"/>
      <c r="B376" s="226" t="s">
        <v>320</v>
      </c>
      <c r="C376" s="184"/>
      <c r="D376" s="185"/>
      <c r="E376" s="184"/>
      <c r="F376" s="186"/>
      <c r="G376" s="187"/>
      <c r="H376" s="188">
        <f>H373+H374+H375</f>
        <v>4014.4155097600005</v>
      </c>
      <c r="I376" s="233">
        <v>2689.9946460800002</v>
      </c>
      <c r="J376" s="168"/>
      <c r="K376" s="169"/>
      <c r="L376" s="168"/>
      <c r="M376" s="170"/>
      <c r="N376" s="171"/>
      <c r="O376" s="168"/>
      <c r="P376" s="172"/>
    </row>
    <row r="377" spans="1:16" s="173" customFormat="1" ht="36.75" customHeight="1">
      <c r="A377" s="162"/>
      <c r="B377" s="183" t="s">
        <v>186</v>
      </c>
      <c r="C377" s="195"/>
      <c r="D377" s="196"/>
      <c r="E377" s="195"/>
      <c r="F377" s="197"/>
      <c r="G377" s="198"/>
      <c r="H377" s="199"/>
      <c r="I377" s="233"/>
      <c r="J377" s="168"/>
      <c r="K377" s="169"/>
      <c r="L377" s="168"/>
      <c r="M377" s="170"/>
      <c r="N377" s="171"/>
      <c r="O377" s="168"/>
      <c r="P377" s="172"/>
    </row>
    <row r="378" spans="1:16" s="173" customFormat="1" ht="42.75" customHeight="1">
      <c r="A378" s="162"/>
      <c r="B378" s="223" t="s">
        <v>360</v>
      </c>
      <c r="C378" s="195"/>
      <c r="D378" s="196"/>
      <c r="E378" s="195"/>
      <c r="F378" s="197"/>
      <c r="G378" s="198"/>
      <c r="H378" s="199"/>
      <c r="I378" s="233"/>
      <c r="J378" s="168"/>
      <c r="K378" s="169"/>
      <c r="L378" s="168"/>
      <c r="M378" s="170"/>
      <c r="N378" s="171"/>
      <c r="O378" s="168"/>
      <c r="P378" s="172"/>
    </row>
    <row r="379" spans="1:16" s="173" customFormat="1" ht="36.75" customHeight="1">
      <c r="A379" s="162"/>
      <c r="B379" s="181" t="s">
        <v>20</v>
      </c>
      <c r="C379" s="109">
        <v>10</v>
      </c>
      <c r="D379" s="111" t="s">
        <v>129</v>
      </c>
      <c r="E379" s="109">
        <v>0.2</v>
      </c>
      <c r="F379" s="113" t="s">
        <v>21</v>
      </c>
      <c r="G379" s="126" t="s">
        <v>313</v>
      </c>
      <c r="H379" s="141">
        <f>E379*15329</f>
        <v>3065.8</v>
      </c>
      <c r="I379" s="233"/>
      <c r="J379" s="168"/>
      <c r="K379" s="169"/>
      <c r="L379" s="168"/>
      <c r="M379" s="170"/>
      <c r="N379" s="171"/>
      <c r="O379" s="168"/>
      <c r="P379" s="172"/>
    </row>
    <row r="380" spans="1:16" s="173" customFormat="1" ht="36.75" customHeight="1">
      <c r="A380" s="162"/>
      <c r="B380" s="235" t="s">
        <v>320</v>
      </c>
      <c r="C380" s="195"/>
      <c r="D380" s="196"/>
      <c r="E380" s="195"/>
      <c r="F380" s="197"/>
      <c r="G380" s="198"/>
      <c r="H380" s="199">
        <f>H379</f>
        <v>3065.8</v>
      </c>
      <c r="I380" s="236">
        <v>2709.2</v>
      </c>
      <c r="J380" s="168"/>
      <c r="K380" s="169"/>
      <c r="L380" s="168"/>
      <c r="M380" s="170"/>
      <c r="N380" s="171"/>
      <c r="O380" s="168"/>
      <c r="P380" s="172"/>
    </row>
    <row r="381" spans="1:16" s="173" customFormat="1" ht="36.75" customHeight="1" thickBot="1">
      <c r="A381" s="162"/>
      <c r="B381" s="237" t="s">
        <v>361</v>
      </c>
      <c r="C381" s="195"/>
      <c r="D381" s="196"/>
      <c r="E381" s="195"/>
      <c r="F381" s="197"/>
      <c r="G381" s="198"/>
      <c r="H381" s="199"/>
      <c r="I381" s="233"/>
      <c r="J381" s="168"/>
      <c r="K381" s="169"/>
      <c r="L381" s="168"/>
      <c r="M381" s="170"/>
      <c r="N381" s="171"/>
      <c r="O381" s="168"/>
      <c r="P381" s="172"/>
    </row>
    <row r="382" spans="1:16" s="12" customFormat="1" ht="45.75" thickTop="1">
      <c r="A382" s="78"/>
      <c r="B382" s="119" t="s">
        <v>319</v>
      </c>
      <c r="C382" s="109">
        <v>10</v>
      </c>
      <c r="D382" s="111" t="s">
        <v>352</v>
      </c>
      <c r="E382" s="109">
        <v>0.9</v>
      </c>
      <c r="F382" s="113" t="s">
        <v>21</v>
      </c>
      <c r="G382" s="126" t="s">
        <v>321</v>
      </c>
      <c r="H382" s="141">
        <f>(2136*E382)*1.06*1.05*1.051*1.051</f>
        <v>2363.4387631512</v>
      </c>
      <c r="I382" s="122"/>
      <c r="J382" s="96"/>
      <c r="K382" s="36"/>
      <c r="L382" s="96"/>
      <c r="M382" s="37"/>
      <c r="N382" s="16"/>
      <c r="O382" s="96"/>
      <c r="P382" s="18"/>
    </row>
    <row r="383" spans="1:16" s="12" customFormat="1">
      <c r="A383" s="78"/>
      <c r="B383" s="180" t="s">
        <v>112</v>
      </c>
      <c r="C383" s="109">
        <v>10</v>
      </c>
      <c r="D383" s="111">
        <v>1</v>
      </c>
      <c r="E383" s="109">
        <f>E382-E384</f>
        <v>0.45</v>
      </c>
      <c r="F383" s="113" t="s">
        <v>21</v>
      </c>
      <c r="G383" s="126" t="s">
        <v>322</v>
      </c>
      <c r="H383" s="141">
        <f>E383*1428*1.05*1.051*1.051</f>
        <v>745.30743272999985</v>
      </c>
      <c r="I383" s="122"/>
      <c r="J383" s="96"/>
      <c r="K383" s="36"/>
      <c r="L383" s="96"/>
      <c r="M383" s="37"/>
      <c r="N383" s="16"/>
      <c r="O383" s="96"/>
      <c r="P383" s="18"/>
    </row>
    <row r="384" spans="1:16" s="12" customFormat="1" ht="60">
      <c r="A384" s="78"/>
      <c r="B384" s="181" t="s">
        <v>20</v>
      </c>
      <c r="C384" s="109">
        <v>10</v>
      </c>
      <c r="D384" s="111" t="s">
        <v>129</v>
      </c>
      <c r="E384" s="109">
        <f>E382*0.5</f>
        <v>0.45</v>
      </c>
      <c r="F384" s="113" t="s">
        <v>21</v>
      </c>
      <c r="G384" s="126" t="s">
        <v>333</v>
      </c>
      <c r="H384" s="141">
        <f>E384*18517</f>
        <v>8332.65</v>
      </c>
      <c r="I384" s="122"/>
      <c r="J384" s="96"/>
      <c r="K384" s="36"/>
      <c r="L384" s="96"/>
      <c r="M384" s="37"/>
      <c r="N384" s="16"/>
      <c r="O384" s="96"/>
      <c r="P384" s="18"/>
    </row>
    <row r="385" spans="1:16" s="12" customFormat="1" ht="16.5" thickBot="1">
      <c r="A385" s="78"/>
      <c r="B385" s="226" t="s">
        <v>320</v>
      </c>
      <c r="C385" s="184"/>
      <c r="D385" s="185"/>
      <c r="E385" s="184"/>
      <c r="F385" s="186"/>
      <c r="G385" s="187"/>
      <c r="H385" s="188">
        <f>H382+H383+H384</f>
        <v>11441.3961958812</v>
      </c>
      <c r="I385" s="238">
        <v>8127.6</v>
      </c>
      <c r="J385" s="96"/>
      <c r="K385" s="36"/>
      <c r="L385" s="96"/>
      <c r="M385" s="37"/>
      <c r="N385" s="16"/>
      <c r="O385" s="96"/>
      <c r="P385" s="18"/>
    </row>
    <row r="386" spans="1:16" s="12" customFormat="1" ht="45.75" thickTop="1">
      <c r="A386" s="78"/>
      <c r="B386" s="146" t="s">
        <v>362</v>
      </c>
      <c r="C386" s="184"/>
      <c r="D386" s="185"/>
      <c r="E386" s="184"/>
      <c r="F386" s="186"/>
      <c r="G386" s="187"/>
      <c r="H386" s="188"/>
      <c r="I386" s="239"/>
      <c r="J386" s="96"/>
      <c r="K386" s="36"/>
      <c r="L386" s="96"/>
      <c r="M386" s="37"/>
      <c r="N386" s="16"/>
      <c r="O386" s="96"/>
      <c r="P386" s="18"/>
    </row>
    <row r="387" spans="1:16" s="12" customFormat="1" ht="45">
      <c r="A387" s="78"/>
      <c r="B387" s="119" t="s">
        <v>319</v>
      </c>
      <c r="C387" s="109">
        <v>10</v>
      </c>
      <c r="D387" s="111" t="s">
        <v>352</v>
      </c>
      <c r="E387" s="109">
        <v>0.06</v>
      </c>
      <c r="F387" s="113" t="s">
        <v>21</v>
      </c>
      <c r="G387" s="126" t="s">
        <v>321</v>
      </c>
      <c r="H387" s="141">
        <f>(2136*E387)*1.06*1.05*1.051*1.051</f>
        <v>157.56258421008002</v>
      </c>
      <c r="I387" s="239"/>
      <c r="J387" s="96"/>
      <c r="K387" s="36"/>
      <c r="L387" s="96"/>
      <c r="M387" s="37"/>
      <c r="N387" s="16"/>
      <c r="O387" s="96"/>
      <c r="P387" s="18"/>
    </row>
    <row r="388" spans="1:16" s="12" customFormat="1">
      <c r="A388" s="78"/>
      <c r="B388" s="180" t="s">
        <v>112</v>
      </c>
      <c r="C388" s="109">
        <v>10</v>
      </c>
      <c r="D388" s="111">
        <v>1</v>
      </c>
      <c r="E388" s="109">
        <v>0.06</v>
      </c>
      <c r="F388" s="113" t="s">
        <v>21</v>
      </c>
      <c r="G388" s="126" t="s">
        <v>322</v>
      </c>
      <c r="H388" s="141">
        <f>E388*1428*1.05*1.051*1.051</f>
        <v>99.374324363999989</v>
      </c>
      <c r="I388" s="239"/>
      <c r="J388" s="96"/>
      <c r="K388" s="36"/>
      <c r="L388" s="96"/>
      <c r="M388" s="37"/>
      <c r="N388" s="16"/>
      <c r="O388" s="96"/>
      <c r="P388" s="18"/>
    </row>
    <row r="389" spans="1:16" s="12" customFormat="1">
      <c r="A389" s="78"/>
      <c r="B389" s="226" t="s">
        <v>320</v>
      </c>
      <c r="C389" s="184"/>
      <c r="D389" s="185"/>
      <c r="E389" s="184"/>
      <c r="F389" s="186"/>
      <c r="G389" s="187"/>
      <c r="H389" s="188">
        <f>H387+H388</f>
        <v>256.93690857408001</v>
      </c>
      <c r="I389" s="240">
        <v>194.178</v>
      </c>
      <c r="J389" s="96"/>
      <c r="K389" s="36"/>
      <c r="L389" s="96"/>
      <c r="M389" s="37"/>
      <c r="N389" s="16"/>
      <c r="O389" s="96"/>
      <c r="P389" s="18"/>
    </row>
    <row r="390" spans="1:16" s="12" customFormat="1" ht="45.75" thickBot="1">
      <c r="A390" s="78"/>
      <c r="B390" s="241" t="s">
        <v>363</v>
      </c>
      <c r="C390" s="184"/>
      <c r="D390" s="185"/>
      <c r="E390" s="184"/>
      <c r="F390" s="186"/>
      <c r="G390" s="187"/>
      <c r="H390" s="188"/>
      <c r="I390" s="239"/>
      <c r="J390" s="96"/>
      <c r="K390" s="36"/>
      <c r="L390" s="96"/>
      <c r="M390" s="37"/>
      <c r="N390" s="16"/>
      <c r="O390" s="96"/>
      <c r="P390" s="18"/>
    </row>
    <row r="391" spans="1:16" s="12" customFormat="1" ht="45.75" thickTop="1">
      <c r="A391" s="78"/>
      <c r="B391" s="119" t="s">
        <v>319</v>
      </c>
      <c r="C391" s="109">
        <v>10</v>
      </c>
      <c r="D391" s="111" t="s">
        <v>352</v>
      </c>
      <c r="E391" s="109">
        <v>0.06</v>
      </c>
      <c r="F391" s="113" t="s">
        <v>21</v>
      </c>
      <c r="G391" s="126" t="s">
        <v>321</v>
      </c>
      <c r="H391" s="141">
        <f>(2136*E391)*1.06*1.05*1.051*1.051</f>
        <v>157.56258421008002</v>
      </c>
      <c r="I391" s="239"/>
      <c r="J391" s="96"/>
      <c r="K391" s="36"/>
      <c r="L391" s="96"/>
      <c r="M391" s="37"/>
      <c r="N391" s="16"/>
      <c r="O391" s="96"/>
      <c r="P391" s="18"/>
    </row>
    <row r="392" spans="1:16" s="12" customFormat="1">
      <c r="A392" s="78"/>
      <c r="B392" s="180" t="s">
        <v>112</v>
      </c>
      <c r="C392" s="109">
        <v>10</v>
      </c>
      <c r="D392" s="111">
        <v>1</v>
      </c>
      <c r="E392" s="109">
        <v>0.06</v>
      </c>
      <c r="F392" s="113" t="s">
        <v>21</v>
      </c>
      <c r="G392" s="126" t="s">
        <v>322</v>
      </c>
      <c r="H392" s="141">
        <f>E392*1428*1.05*1.051*1.051</f>
        <v>99.374324363999989</v>
      </c>
      <c r="I392" s="239"/>
      <c r="J392" s="96"/>
      <c r="K392" s="36"/>
      <c r="L392" s="96"/>
      <c r="M392" s="37"/>
      <c r="N392" s="16"/>
      <c r="O392" s="96"/>
      <c r="P392" s="18"/>
    </row>
    <row r="393" spans="1:16" s="12" customFormat="1">
      <c r="A393" s="78"/>
      <c r="B393" s="226" t="s">
        <v>320</v>
      </c>
      <c r="C393" s="184"/>
      <c r="D393" s="185"/>
      <c r="E393" s="184"/>
      <c r="F393" s="186"/>
      <c r="G393" s="187"/>
      <c r="H393" s="188">
        <f>H391+H392</f>
        <v>256.93690857408001</v>
      </c>
      <c r="I393" s="240">
        <v>194.178</v>
      </c>
      <c r="J393" s="96"/>
      <c r="K393" s="36"/>
      <c r="L393" s="96"/>
      <c r="M393" s="37"/>
      <c r="N393" s="16"/>
      <c r="O393" s="96"/>
      <c r="P393" s="18"/>
    </row>
    <row r="394" spans="1:16" s="12" customFormat="1" ht="60">
      <c r="A394" s="78"/>
      <c r="B394" s="146" t="s">
        <v>364</v>
      </c>
      <c r="C394" s="184"/>
      <c r="D394" s="185"/>
      <c r="E394" s="184"/>
      <c r="F394" s="186"/>
      <c r="G394" s="187"/>
      <c r="H394" s="188"/>
      <c r="I394" s="239"/>
      <c r="J394" s="96"/>
      <c r="K394" s="36"/>
      <c r="L394" s="96"/>
      <c r="M394" s="37"/>
      <c r="N394" s="16"/>
      <c r="O394" s="96"/>
      <c r="P394" s="18"/>
    </row>
    <row r="395" spans="1:16" s="12" customFormat="1" ht="60">
      <c r="A395" s="78"/>
      <c r="B395" s="181" t="s">
        <v>20</v>
      </c>
      <c r="C395" s="109">
        <v>10</v>
      </c>
      <c r="D395" s="111" t="s">
        <v>129</v>
      </c>
      <c r="E395" s="109">
        <v>0.2</v>
      </c>
      <c r="F395" s="113" t="s">
        <v>21</v>
      </c>
      <c r="G395" s="126" t="s">
        <v>333</v>
      </c>
      <c r="H395" s="141">
        <f>E395*18517</f>
        <v>3703.4</v>
      </c>
      <c r="I395" s="239"/>
      <c r="J395" s="96"/>
      <c r="K395" s="36"/>
      <c r="L395" s="96"/>
      <c r="M395" s="37"/>
      <c r="N395" s="16"/>
      <c r="O395" s="96"/>
      <c r="P395" s="18"/>
    </row>
    <row r="396" spans="1:16" s="12" customFormat="1">
      <c r="A396" s="78"/>
      <c r="B396" s="226" t="s">
        <v>320</v>
      </c>
      <c r="C396" s="184"/>
      <c r="D396" s="185"/>
      <c r="E396" s="184"/>
      <c r="F396" s="186"/>
      <c r="G396" s="187"/>
      <c r="H396" s="188">
        <f>H395</f>
        <v>3703.4</v>
      </c>
      <c r="I396" s="240">
        <v>2886.8</v>
      </c>
      <c r="J396" s="96"/>
      <c r="K396" s="36"/>
      <c r="L396" s="96"/>
      <c r="M396" s="37"/>
      <c r="N396" s="16"/>
      <c r="O396" s="96"/>
      <c r="P396" s="18"/>
    </row>
    <row r="397" spans="1:16" s="12" customFormat="1" ht="45">
      <c r="A397" s="78"/>
      <c r="B397" s="146" t="s">
        <v>365</v>
      </c>
      <c r="C397" s="184"/>
      <c r="D397" s="185"/>
      <c r="E397" s="184"/>
      <c r="F397" s="186"/>
      <c r="G397" s="187"/>
      <c r="H397" s="188"/>
      <c r="I397" s="239"/>
      <c r="J397" s="96"/>
      <c r="K397" s="36"/>
      <c r="L397" s="96"/>
      <c r="M397" s="37"/>
      <c r="N397" s="16"/>
      <c r="O397" s="96"/>
      <c r="P397" s="18"/>
    </row>
    <row r="398" spans="1:16" s="12" customFormat="1" ht="60">
      <c r="A398" s="78"/>
      <c r="B398" s="181" t="s">
        <v>20</v>
      </c>
      <c r="C398" s="109">
        <v>10</v>
      </c>
      <c r="D398" s="111" t="s">
        <v>129</v>
      </c>
      <c r="E398" s="109">
        <v>0.45</v>
      </c>
      <c r="F398" s="113" t="s">
        <v>21</v>
      </c>
      <c r="G398" s="126" t="s">
        <v>333</v>
      </c>
      <c r="H398" s="141">
        <f>E398*18517</f>
        <v>8332.65</v>
      </c>
      <c r="I398" s="239"/>
      <c r="J398" s="96"/>
      <c r="K398" s="36"/>
      <c r="L398" s="96"/>
      <c r="M398" s="37"/>
      <c r="N398" s="16"/>
      <c r="O398" s="96"/>
      <c r="P398" s="18"/>
    </row>
    <row r="399" spans="1:16" s="12" customFormat="1">
      <c r="A399" s="78"/>
      <c r="B399" s="226" t="s">
        <v>320</v>
      </c>
      <c r="C399" s="184"/>
      <c r="D399" s="185"/>
      <c r="E399" s="184"/>
      <c r="F399" s="186"/>
      <c r="G399" s="187"/>
      <c r="H399" s="188">
        <f>H398</f>
        <v>8332.65</v>
      </c>
      <c r="I399" s="240">
        <v>6495.3</v>
      </c>
      <c r="J399" s="96"/>
      <c r="K399" s="36"/>
      <c r="L399" s="96"/>
      <c r="M399" s="37"/>
      <c r="N399" s="16"/>
      <c r="O399" s="96"/>
      <c r="P399" s="18"/>
    </row>
    <row r="400" spans="1:16" s="12" customFormat="1" ht="45.75" thickBot="1">
      <c r="A400" s="78"/>
      <c r="B400" s="241" t="s">
        <v>366</v>
      </c>
      <c r="C400" s="184"/>
      <c r="D400" s="185"/>
      <c r="E400" s="184"/>
      <c r="F400" s="186"/>
      <c r="G400" s="187"/>
      <c r="H400" s="188"/>
      <c r="I400" s="239"/>
      <c r="J400" s="96"/>
      <c r="K400" s="36"/>
      <c r="L400" s="96"/>
      <c r="M400" s="37"/>
      <c r="N400" s="16"/>
      <c r="O400" s="96"/>
      <c r="P400" s="18"/>
    </row>
    <row r="401" spans="1:16" s="12" customFormat="1" ht="60.75" thickTop="1">
      <c r="A401" s="78"/>
      <c r="B401" s="181" t="s">
        <v>20</v>
      </c>
      <c r="C401" s="109">
        <v>10</v>
      </c>
      <c r="D401" s="111" t="s">
        <v>129</v>
      </c>
      <c r="E401" s="109">
        <v>0.12</v>
      </c>
      <c r="F401" s="113" t="s">
        <v>21</v>
      </c>
      <c r="G401" s="126" t="s">
        <v>333</v>
      </c>
      <c r="H401" s="141">
        <f>E401*18517</f>
        <v>2222.04</v>
      </c>
      <c r="I401" s="239"/>
      <c r="J401" s="96"/>
      <c r="K401" s="36"/>
      <c r="L401" s="96"/>
      <c r="M401" s="37"/>
      <c r="N401" s="16"/>
      <c r="O401" s="96"/>
      <c r="P401" s="18"/>
    </row>
    <row r="402" spans="1:16" s="12" customFormat="1" ht="16.5" thickBot="1">
      <c r="A402" s="78"/>
      <c r="B402" s="226" t="s">
        <v>320</v>
      </c>
      <c r="C402" s="184"/>
      <c r="D402" s="185"/>
      <c r="E402" s="184"/>
      <c r="F402" s="186"/>
      <c r="G402" s="187"/>
      <c r="H402" s="188">
        <f>H401</f>
        <v>2222.04</v>
      </c>
      <c r="I402" s="242">
        <v>1732.08</v>
      </c>
      <c r="J402" s="96"/>
      <c r="K402" s="36"/>
      <c r="L402" s="96"/>
      <c r="M402" s="37"/>
      <c r="N402" s="16"/>
      <c r="O402" s="96"/>
      <c r="P402" s="18"/>
    </row>
    <row r="403" spans="1:16" s="12" customFormat="1" ht="90.75" thickTop="1">
      <c r="A403" s="78"/>
      <c r="B403" s="106" t="s">
        <v>367</v>
      </c>
      <c r="C403" s="184"/>
      <c r="D403" s="185"/>
      <c r="E403" s="184"/>
      <c r="F403" s="186"/>
      <c r="G403" s="187"/>
      <c r="H403" s="188"/>
      <c r="I403" s="239"/>
      <c r="J403" s="96"/>
      <c r="K403" s="36"/>
      <c r="L403" s="96"/>
      <c r="M403" s="37"/>
      <c r="N403" s="16"/>
      <c r="O403" s="96"/>
      <c r="P403" s="18"/>
    </row>
    <row r="404" spans="1:16" s="12" customFormat="1" ht="45">
      <c r="A404" s="78"/>
      <c r="B404" s="119" t="s">
        <v>319</v>
      </c>
      <c r="C404" s="109">
        <v>10</v>
      </c>
      <c r="D404" s="111" t="s">
        <v>354</v>
      </c>
      <c r="E404" s="109">
        <v>0.2</v>
      </c>
      <c r="F404" s="113" t="s">
        <v>21</v>
      </c>
      <c r="G404" s="126" t="s">
        <v>330</v>
      </c>
      <c r="H404" s="141">
        <f>(2058*E404)*1.06*1.05*1.051*1.051</f>
        <v>506.02964779080003</v>
      </c>
      <c r="I404" s="239"/>
      <c r="J404" s="96"/>
      <c r="K404" s="36"/>
      <c r="L404" s="96"/>
      <c r="M404" s="37"/>
      <c r="N404" s="16"/>
      <c r="O404" s="96"/>
      <c r="P404" s="18"/>
    </row>
    <row r="405" spans="1:16" s="12" customFormat="1">
      <c r="A405" s="78"/>
      <c r="B405" s="180" t="s">
        <v>112</v>
      </c>
      <c r="C405" s="109">
        <v>10</v>
      </c>
      <c r="D405" s="111">
        <v>1</v>
      </c>
      <c r="E405" s="109">
        <v>0.2</v>
      </c>
      <c r="F405" s="113" t="s">
        <v>21</v>
      </c>
      <c r="G405" s="126" t="s">
        <v>322</v>
      </c>
      <c r="H405" s="141">
        <f>E405*1428*1.05*1.051*1.051</f>
        <v>331.24774788000002</v>
      </c>
      <c r="I405" s="239"/>
      <c r="J405" s="96"/>
      <c r="K405" s="36"/>
      <c r="L405" s="96"/>
      <c r="M405" s="37"/>
      <c r="N405" s="16"/>
      <c r="O405" s="96"/>
      <c r="P405" s="18"/>
    </row>
    <row r="406" spans="1:16" s="12" customFormat="1">
      <c r="A406" s="78"/>
      <c r="B406" s="226" t="s">
        <v>320</v>
      </c>
      <c r="C406" s="184"/>
      <c r="D406" s="185"/>
      <c r="E406" s="184"/>
      <c r="F406" s="186"/>
      <c r="G406" s="187"/>
      <c r="H406" s="188">
        <f>H404+H405</f>
        <v>837.27739567080005</v>
      </c>
      <c r="I406" s="200">
        <v>564.77</v>
      </c>
      <c r="J406" s="96"/>
      <c r="K406" s="36"/>
      <c r="L406" s="96"/>
      <c r="M406" s="37"/>
      <c r="N406" s="16"/>
      <c r="O406" s="96"/>
      <c r="P406" s="18"/>
    </row>
    <row r="407" spans="1:16" s="12" customFormat="1" ht="30.75" customHeight="1">
      <c r="A407" s="78"/>
      <c r="B407" s="234" t="s">
        <v>371</v>
      </c>
      <c r="C407" s="184"/>
      <c r="D407" s="185"/>
      <c r="E407" s="184"/>
      <c r="F407" s="186"/>
      <c r="G407" s="187"/>
      <c r="H407" s="188"/>
      <c r="I407" s="239"/>
      <c r="J407" s="96"/>
      <c r="K407" s="36"/>
      <c r="L407" s="96"/>
      <c r="M407" s="37"/>
      <c r="N407" s="16"/>
      <c r="O407" s="96"/>
      <c r="P407" s="18"/>
    </row>
    <row r="408" spans="1:16" s="12" customFormat="1" ht="45">
      <c r="A408" s="78"/>
      <c r="B408" s="119" t="s">
        <v>319</v>
      </c>
      <c r="C408" s="109">
        <v>10</v>
      </c>
      <c r="D408" s="111" t="s">
        <v>352</v>
      </c>
      <c r="E408" s="109">
        <v>0.63500000000000001</v>
      </c>
      <c r="F408" s="113" t="s">
        <v>21</v>
      </c>
      <c r="G408" s="126" t="s">
        <v>321</v>
      </c>
      <c r="H408" s="141">
        <f>(2136*E408)*1.06*1.05*1.051*1.051</f>
        <v>1667.5373495566801</v>
      </c>
      <c r="I408" s="239"/>
      <c r="J408" s="96"/>
      <c r="K408" s="36"/>
      <c r="L408" s="96"/>
      <c r="M408" s="37"/>
      <c r="N408" s="16"/>
      <c r="O408" s="96"/>
      <c r="P408" s="18"/>
    </row>
    <row r="409" spans="1:16" s="12" customFormat="1">
      <c r="A409" s="78"/>
      <c r="B409" s="180" t="s">
        <v>112</v>
      </c>
      <c r="C409" s="109">
        <v>10</v>
      </c>
      <c r="D409" s="111">
        <v>1</v>
      </c>
      <c r="E409" s="109">
        <f>E408-E410</f>
        <v>0.3175</v>
      </c>
      <c r="F409" s="113" t="s">
        <v>21</v>
      </c>
      <c r="G409" s="126" t="s">
        <v>322</v>
      </c>
      <c r="H409" s="141">
        <f>E409*1428*1.05*1.051*1.051</f>
        <v>525.85579975949997</v>
      </c>
      <c r="I409" s="239"/>
      <c r="J409" s="96"/>
      <c r="K409" s="36"/>
      <c r="L409" s="96"/>
      <c r="M409" s="37"/>
      <c r="N409" s="16"/>
      <c r="O409" s="96"/>
      <c r="P409" s="18"/>
    </row>
    <row r="410" spans="1:16" s="12" customFormat="1" ht="60">
      <c r="A410" s="78"/>
      <c r="B410" s="181" t="s">
        <v>20</v>
      </c>
      <c r="C410" s="109">
        <v>10</v>
      </c>
      <c r="D410" s="111" t="s">
        <v>129</v>
      </c>
      <c r="E410" s="109">
        <f>E408*0.5</f>
        <v>0.3175</v>
      </c>
      <c r="F410" s="113" t="s">
        <v>21</v>
      </c>
      <c r="G410" s="126" t="s">
        <v>333</v>
      </c>
      <c r="H410" s="141">
        <f>E410*18517</f>
        <v>5879.1475</v>
      </c>
      <c r="I410" s="239"/>
      <c r="J410" s="96"/>
      <c r="K410" s="36"/>
      <c r="L410" s="96"/>
      <c r="M410" s="37"/>
      <c r="N410" s="16"/>
      <c r="O410" s="96"/>
      <c r="P410" s="18"/>
    </row>
    <row r="411" spans="1:16" s="12" customFormat="1">
      <c r="A411" s="78"/>
      <c r="B411" s="226" t="s">
        <v>320</v>
      </c>
      <c r="C411" s="184"/>
      <c r="D411" s="185"/>
      <c r="E411" s="184"/>
      <c r="F411" s="186"/>
      <c r="G411" s="187"/>
      <c r="H411" s="188">
        <f>H408+H409+H410</f>
        <v>8072.54064931618</v>
      </c>
      <c r="I411" s="233">
        <v>5610.1939902315644</v>
      </c>
      <c r="J411" s="96"/>
      <c r="K411" s="36"/>
      <c r="L411" s="96"/>
      <c r="M411" s="37"/>
      <c r="N411" s="16"/>
      <c r="O411" s="96"/>
      <c r="P411" s="18"/>
    </row>
    <row r="412" spans="1:16" s="12" customFormat="1" ht="30.75" customHeight="1">
      <c r="A412" s="78"/>
      <c r="B412" s="234" t="s">
        <v>372</v>
      </c>
      <c r="C412" s="184"/>
      <c r="D412" s="185"/>
      <c r="E412" s="184"/>
      <c r="F412" s="186"/>
      <c r="G412" s="187"/>
      <c r="H412" s="188"/>
      <c r="I412" s="239"/>
      <c r="J412" s="96"/>
      <c r="K412" s="36"/>
      <c r="L412" s="96"/>
      <c r="M412" s="37"/>
      <c r="N412" s="16"/>
      <c r="O412" s="96"/>
      <c r="P412" s="18"/>
    </row>
    <row r="413" spans="1:16" s="12" customFormat="1" ht="45">
      <c r="A413" s="78"/>
      <c r="B413" s="119" t="s">
        <v>319</v>
      </c>
      <c r="C413" s="109">
        <v>10</v>
      </c>
      <c r="D413" s="111" t="s">
        <v>352</v>
      </c>
      <c r="E413" s="109">
        <v>0.56999999999999995</v>
      </c>
      <c r="F413" s="113" t="s">
        <v>21</v>
      </c>
      <c r="G413" s="126" t="s">
        <v>321</v>
      </c>
      <c r="H413" s="141">
        <f>(2136*E413)*1.06*1.05*1.051*1.051</f>
        <v>1496.84454999576</v>
      </c>
      <c r="I413" s="239"/>
      <c r="J413" s="96"/>
      <c r="K413" s="36"/>
      <c r="L413" s="96"/>
      <c r="M413" s="37"/>
      <c r="N413" s="16"/>
      <c r="O413" s="96"/>
      <c r="P413" s="18"/>
    </row>
    <row r="414" spans="1:16" s="12" customFormat="1">
      <c r="A414" s="78"/>
      <c r="B414" s="180" t="s">
        <v>112</v>
      </c>
      <c r="C414" s="109">
        <v>10</v>
      </c>
      <c r="D414" s="111">
        <v>1</v>
      </c>
      <c r="E414" s="109">
        <f>E413-E415</f>
        <v>0.28499999999999998</v>
      </c>
      <c r="F414" s="113" t="s">
        <v>21</v>
      </c>
      <c r="G414" s="126" t="s">
        <v>322</v>
      </c>
      <c r="H414" s="141">
        <f>E414*1428*1.05*1.051*1.051</f>
        <v>472.02804072899988</v>
      </c>
      <c r="I414" s="239"/>
      <c r="J414" s="96"/>
      <c r="K414" s="36"/>
      <c r="L414" s="96"/>
      <c r="M414" s="37"/>
      <c r="N414" s="16"/>
      <c r="O414" s="96"/>
      <c r="P414" s="18"/>
    </row>
    <row r="415" spans="1:16" s="12" customFormat="1" ht="60">
      <c r="A415" s="78"/>
      <c r="B415" s="181" t="s">
        <v>20</v>
      </c>
      <c r="C415" s="109">
        <v>10</v>
      </c>
      <c r="D415" s="111" t="s">
        <v>129</v>
      </c>
      <c r="E415" s="109">
        <f>E413*0.5</f>
        <v>0.28499999999999998</v>
      </c>
      <c r="F415" s="113" t="s">
        <v>21</v>
      </c>
      <c r="G415" s="126" t="s">
        <v>333</v>
      </c>
      <c r="H415" s="141">
        <f>E415*18517</f>
        <v>5277.3449999999993</v>
      </c>
      <c r="I415" s="239"/>
      <c r="J415" s="96"/>
      <c r="K415" s="36"/>
      <c r="L415" s="96"/>
      <c r="M415" s="37"/>
      <c r="N415" s="16"/>
      <c r="O415" s="96"/>
      <c r="P415" s="18"/>
    </row>
    <row r="416" spans="1:16" s="12" customFormat="1">
      <c r="A416" s="78"/>
      <c r="B416" s="226" t="s">
        <v>320</v>
      </c>
      <c r="C416" s="184"/>
      <c r="D416" s="185"/>
      <c r="E416" s="184"/>
      <c r="F416" s="186"/>
      <c r="G416" s="187"/>
      <c r="H416" s="188">
        <f>H413+H414+H415</f>
        <v>7246.2175907247592</v>
      </c>
      <c r="I416" s="233">
        <v>5035.9221644598301</v>
      </c>
      <c r="J416" s="96"/>
      <c r="K416" s="36"/>
      <c r="L416" s="96"/>
      <c r="M416" s="37"/>
      <c r="N416" s="16"/>
      <c r="O416" s="96"/>
      <c r="P416" s="18"/>
    </row>
    <row r="417" spans="1:16" s="12" customFormat="1" ht="33.75" customHeight="1">
      <c r="A417" s="78"/>
      <c r="B417" s="234" t="s">
        <v>373</v>
      </c>
      <c r="C417" s="184"/>
      <c r="D417" s="185"/>
      <c r="E417" s="184"/>
      <c r="F417" s="186"/>
      <c r="G417" s="187"/>
      <c r="H417" s="188"/>
      <c r="I417" s="239"/>
      <c r="J417" s="96"/>
      <c r="K417" s="36"/>
      <c r="L417" s="96"/>
      <c r="M417" s="37"/>
      <c r="N417" s="16"/>
      <c r="O417" s="96"/>
      <c r="P417" s="18"/>
    </row>
    <row r="418" spans="1:16" s="12" customFormat="1" ht="45">
      <c r="A418" s="78"/>
      <c r="B418" s="119" t="s">
        <v>319</v>
      </c>
      <c r="C418" s="109">
        <v>10</v>
      </c>
      <c r="D418" s="111" t="s">
        <v>355</v>
      </c>
      <c r="E418" s="109">
        <v>0.5</v>
      </c>
      <c r="F418" s="113" t="s">
        <v>21</v>
      </c>
      <c r="G418" s="126" t="s">
        <v>335</v>
      </c>
      <c r="H418" s="141">
        <f>(2944*E418)*1.06*1.05*1.051*1.051</f>
        <v>1809.707583936</v>
      </c>
      <c r="I418" s="239"/>
      <c r="J418" s="96"/>
      <c r="K418" s="36"/>
      <c r="L418" s="96"/>
      <c r="M418" s="37"/>
      <c r="N418" s="16"/>
      <c r="O418" s="96"/>
      <c r="P418" s="18"/>
    </row>
    <row r="419" spans="1:16" s="12" customFormat="1">
      <c r="A419" s="78"/>
      <c r="B419" s="180" t="s">
        <v>112</v>
      </c>
      <c r="C419" s="109">
        <v>10</v>
      </c>
      <c r="D419" s="111">
        <v>1</v>
      </c>
      <c r="E419" s="109">
        <f>E418-E420</f>
        <v>0.25</v>
      </c>
      <c r="F419" s="113" t="s">
        <v>21</v>
      </c>
      <c r="G419" s="126" t="s">
        <v>322</v>
      </c>
      <c r="H419" s="141">
        <f>E419*1428*1.05*1.051*1.051</f>
        <v>414.05968485</v>
      </c>
      <c r="I419" s="239"/>
      <c r="J419" s="96"/>
      <c r="K419" s="36"/>
      <c r="L419" s="96"/>
      <c r="M419" s="37"/>
      <c r="N419" s="16"/>
      <c r="O419" s="96"/>
      <c r="P419" s="18"/>
    </row>
    <row r="420" spans="1:16" s="12" customFormat="1" ht="60">
      <c r="A420" s="78"/>
      <c r="B420" s="181" t="s">
        <v>20</v>
      </c>
      <c r="C420" s="109">
        <v>10</v>
      </c>
      <c r="D420" s="111" t="s">
        <v>129</v>
      </c>
      <c r="E420" s="109">
        <f>E418*0.5</f>
        <v>0.25</v>
      </c>
      <c r="F420" s="113" t="s">
        <v>21</v>
      </c>
      <c r="G420" s="126" t="s">
        <v>333</v>
      </c>
      <c r="H420" s="141">
        <f>E420*18517</f>
        <v>4629.25</v>
      </c>
      <c r="I420" s="239"/>
      <c r="J420" s="96"/>
      <c r="K420" s="36"/>
      <c r="L420" s="96"/>
      <c r="M420" s="37"/>
      <c r="N420" s="16"/>
      <c r="O420" s="96"/>
      <c r="P420" s="18"/>
    </row>
    <row r="421" spans="1:16" s="12" customFormat="1">
      <c r="A421" s="78"/>
      <c r="B421" s="226" t="s">
        <v>320</v>
      </c>
      <c r="C421" s="184"/>
      <c r="D421" s="185"/>
      <c r="E421" s="184"/>
      <c r="F421" s="186"/>
      <c r="G421" s="187"/>
      <c r="H421" s="188">
        <f>H418+H419+H420</f>
        <v>6853.0172687859995</v>
      </c>
      <c r="I421" s="233">
        <v>4755.7394801412502</v>
      </c>
      <c r="J421" s="96"/>
      <c r="K421" s="36"/>
      <c r="L421" s="96"/>
      <c r="M421" s="37"/>
      <c r="N421" s="16"/>
      <c r="O421" s="96"/>
      <c r="P421" s="18"/>
    </row>
    <row r="422" spans="1:16" s="12" customFormat="1" ht="31.5" customHeight="1">
      <c r="A422" s="78"/>
      <c r="B422" s="234" t="s">
        <v>374</v>
      </c>
      <c r="C422" s="184"/>
      <c r="D422" s="185"/>
      <c r="E422" s="184"/>
      <c r="F422" s="186"/>
      <c r="G422" s="187"/>
      <c r="H422" s="188"/>
      <c r="I422" s="239"/>
      <c r="J422" s="96"/>
      <c r="K422" s="36"/>
      <c r="L422" s="96"/>
      <c r="M422" s="37"/>
      <c r="N422" s="16"/>
      <c r="O422" s="96"/>
      <c r="P422" s="18"/>
    </row>
    <row r="423" spans="1:16" s="12" customFormat="1" ht="45">
      <c r="A423" s="78"/>
      <c r="B423" s="119" t="s">
        <v>319</v>
      </c>
      <c r="C423" s="109">
        <v>10</v>
      </c>
      <c r="D423" s="111" t="s">
        <v>352</v>
      </c>
      <c r="E423" s="109">
        <v>0.45</v>
      </c>
      <c r="F423" s="113" t="s">
        <v>21</v>
      </c>
      <c r="G423" s="126" t="s">
        <v>321</v>
      </c>
      <c r="H423" s="141">
        <f>(2136*E423)*1.06*1.05*1.051*1.051</f>
        <v>1181.7193815756</v>
      </c>
      <c r="I423" s="239"/>
      <c r="J423" s="96"/>
      <c r="K423" s="36"/>
      <c r="L423" s="96"/>
      <c r="M423" s="37"/>
      <c r="N423" s="16"/>
      <c r="O423" s="96"/>
      <c r="P423" s="18"/>
    </row>
    <row r="424" spans="1:16" s="12" customFormat="1">
      <c r="A424" s="78"/>
      <c r="B424" s="180" t="s">
        <v>112</v>
      </c>
      <c r="C424" s="109">
        <v>10</v>
      </c>
      <c r="D424" s="111">
        <v>1</v>
      </c>
      <c r="E424" s="109">
        <f>E423-E425</f>
        <v>0.22500000000000001</v>
      </c>
      <c r="F424" s="113" t="s">
        <v>21</v>
      </c>
      <c r="G424" s="126" t="s">
        <v>322</v>
      </c>
      <c r="H424" s="141">
        <f>E424*1428*1.05*1.051*1.051</f>
        <v>372.65371636499992</v>
      </c>
      <c r="I424" s="239"/>
      <c r="J424" s="96"/>
      <c r="K424" s="36"/>
      <c r="L424" s="96"/>
      <c r="M424" s="37"/>
      <c r="N424" s="16"/>
      <c r="O424" s="96"/>
      <c r="P424" s="18"/>
    </row>
    <row r="425" spans="1:16" s="12" customFormat="1" ht="60">
      <c r="A425" s="78"/>
      <c r="B425" s="181" t="s">
        <v>20</v>
      </c>
      <c r="C425" s="109">
        <v>10</v>
      </c>
      <c r="D425" s="111" t="s">
        <v>129</v>
      </c>
      <c r="E425" s="109">
        <f>E423*0.5</f>
        <v>0.22500000000000001</v>
      </c>
      <c r="F425" s="113" t="s">
        <v>21</v>
      </c>
      <c r="G425" s="126" t="s">
        <v>333</v>
      </c>
      <c r="H425" s="141">
        <f>E425*18517</f>
        <v>4166.3249999999998</v>
      </c>
      <c r="I425" s="239"/>
      <c r="J425" s="96"/>
      <c r="K425" s="36"/>
      <c r="L425" s="96"/>
      <c r="M425" s="37"/>
      <c r="N425" s="16"/>
      <c r="O425" s="96"/>
      <c r="P425" s="18"/>
    </row>
    <row r="426" spans="1:16" s="12" customFormat="1">
      <c r="A426" s="78"/>
      <c r="B426" s="226" t="s">
        <v>320</v>
      </c>
      <c r="C426" s="184"/>
      <c r="D426" s="185"/>
      <c r="E426" s="184"/>
      <c r="F426" s="186"/>
      <c r="G426" s="187"/>
      <c r="H426" s="188">
        <f>H423+H424+H425</f>
        <v>5720.6980979405998</v>
      </c>
      <c r="I426" s="233">
        <v>3975.7280245735496</v>
      </c>
      <c r="J426" s="96"/>
      <c r="K426" s="36"/>
      <c r="L426" s="96"/>
      <c r="M426" s="37"/>
      <c r="N426" s="16"/>
      <c r="O426" s="96"/>
      <c r="P426" s="18"/>
    </row>
    <row r="427" spans="1:16" s="12" customFormat="1" ht="56.25" customHeight="1">
      <c r="A427" s="78"/>
      <c r="B427" s="142" t="s">
        <v>375</v>
      </c>
      <c r="C427" s="184"/>
      <c r="D427" s="185"/>
      <c r="E427" s="184"/>
      <c r="F427" s="186"/>
      <c r="G427" s="187"/>
      <c r="H427" s="188"/>
      <c r="I427" s="239"/>
      <c r="J427" s="96"/>
      <c r="K427" s="36"/>
      <c r="L427" s="96"/>
      <c r="M427" s="37"/>
      <c r="N427" s="16"/>
      <c r="O427" s="96"/>
      <c r="P427" s="18"/>
    </row>
    <row r="428" spans="1:16" s="12" customFormat="1" ht="45">
      <c r="A428" s="78"/>
      <c r="B428" s="119" t="s">
        <v>319</v>
      </c>
      <c r="C428" s="109">
        <v>10</v>
      </c>
      <c r="D428" s="111" t="s">
        <v>355</v>
      </c>
      <c r="E428" s="109">
        <v>2.6</v>
      </c>
      <c r="F428" s="113" t="s">
        <v>21</v>
      </c>
      <c r="G428" s="126" t="s">
        <v>335</v>
      </c>
      <c r="H428" s="141">
        <f>(2944*E428)*1.06*1.05*1.051*1.051</f>
        <v>9410.4794364671998</v>
      </c>
      <c r="I428" s="239"/>
      <c r="J428" s="96"/>
      <c r="K428" s="36"/>
      <c r="L428" s="96"/>
      <c r="M428" s="37"/>
      <c r="N428" s="16"/>
      <c r="O428" s="96"/>
      <c r="P428" s="18"/>
    </row>
    <row r="429" spans="1:16" s="12" customFormat="1">
      <c r="A429" s="78"/>
      <c r="B429" s="180" t="s">
        <v>112</v>
      </c>
      <c r="C429" s="109">
        <v>10</v>
      </c>
      <c r="D429" s="111">
        <v>1</v>
      </c>
      <c r="E429" s="109">
        <f>E428-E430</f>
        <v>0.64999999999999991</v>
      </c>
      <c r="F429" s="113" t="s">
        <v>21</v>
      </c>
      <c r="G429" s="126" t="s">
        <v>322</v>
      </c>
      <c r="H429" s="141">
        <f>E429*1428*1.05*1.051*1.051</f>
        <v>1076.5551806099998</v>
      </c>
      <c r="I429" s="239"/>
      <c r="J429" s="96"/>
      <c r="K429" s="36"/>
      <c r="L429" s="96"/>
      <c r="M429" s="37"/>
      <c r="N429" s="16"/>
      <c r="O429" s="96"/>
      <c r="P429" s="18"/>
    </row>
    <row r="430" spans="1:16" s="12" customFormat="1" ht="60">
      <c r="A430" s="78"/>
      <c r="B430" s="181" t="s">
        <v>20</v>
      </c>
      <c r="C430" s="109">
        <v>10</v>
      </c>
      <c r="D430" s="111" t="s">
        <v>129</v>
      </c>
      <c r="E430" s="109">
        <f>E428*0.75</f>
        <v>1.9500000000000002</v>
      </c>
      <c r="F430" s="113" t="s">
        <v>21</v>
      </c>
      <c r="G430" s="126" t="s">
        <v>333</v>
      </c>
      <c r="H430" s="141">
        <f>E430*18517</f>
        <v>36108.15</v>
      </c>
      <c r="I430" s="239"/>
      <c r="J430" s="96"/>
      <c r="K430" s="36"/>
      <c r="L430" s="96"/>
      <c r="M430" s="37"/>
      <c r="N430" s="16"/>
      <c r="O430" s="96"/>
      <c r="P430" s="18"/>
    </row>
    <row r="431" spans="1:16" s="12" customFormat="1">
      <c r="A431" s="78"/>
      <c r="B431" s="226" t="s">
        <v>320</v>
      </c>
      <c r="C431" s="184"/>
      <c r="D431" s="185"/>
      <c r="E431" s="184"/>
      <c r="F431" s="186"/>
      <c r="G431" s="187"/>
      <c r="H431" s="188">
        <f>H428+H429+H430</f>
        <v>46595.184617077204</v>
      </c>
      <c r="I431" s="228">
        <v>38365.743505881343</v>
      </c>
      <c r="J431" s="96"/>
      <c r="K431" s="36"/>
      <c r="L431" s="96"/>
      <c r="M431" s="37"/>
      <c r="N431" s="16"/>
      <c r="O431" s="96"/>
      <c r="P431" s="18"/>
    </row>
    <row r="432" spans="1:16" s="12" customFormat="1" ht="30">
      <c r="A432" s="78"/>
      <c r="B432" s="142" t="s">
        <v>376</v>
      </c>
      <c r="C432" s="184"/>
      <c r="D432" s="185"/>
      <c r="E432" s="184"/>
      <c r="F432" s="186"/>
      <c r="G432" s="187"/>
      <c r="H432" s="188"/>
      <c r="I432" s="239"/>
      <c r="J432" s="96"/>
      <c r="K432" s="36"/>
      <c r="L432" s="96"/>
      <c r="M432" s="37"/>
      <c r="N432" s="16"/>
      <c r="O432" s="96"/>
      <c r="P432" s="18"/>
    </row>
    <row r="433" spans="1:16" s="12" customFormat="1" ht="45">
      <c r="A433" s="78"/>
      <c r="B433" s="119" t="s">
        <v>319</v>
      </c>
      <c r="C433" s="109">
        <v>10</v>
      </c>
      <c r="D433" s="111" t="s">
        <v>355</v>
      </c>
      <c r="E433" s="109">
        <v>0.42</v>
      </c>
      <c r="F433" s="113" t="s">
        <v>21</v>
      </c>
      <c r="G433" s="126" t="s">
        <v>335</v>
      </c>
      <c r="H433" s="141">
        <f>(2944*E433)*1.06*1.05*1.051*1.051</f>
        <v>1520.1543705062402</v>
      </c>
      <c r="I433" s="239"/>
      <c r="J433" s="96"/>
      <c r="K433" s="36"/>
      <c r="L433" s="96"/>
      <c r="M433" s="37"/>
      <c r="N433" s="16"/>
      <c r="O433" s="96"/>
      <c r="P433" s="18"/>
    </row>
    <row r="434" spans="1:16" s="12" customFormat="1">
      <c r="A434" s="78"/>
      <c r="B434" s="180" t="s">
        <v>112</v>
      </c>
      <c r="C434" s="109">
        <v>10</v>
      </c>
      <c r="D434" s="111">
        <v>1</v>
      </c>
      <c r="E434" s="109">
        <f>E433-E435</f>
        <v>0.10499999999999998</v>
      </c>
      <c r="F434" s="113" t="s">
        <v>21</v>
      </c>
      <c r="G434" s="126" t="s">
        <v>322</v>
      </c>
      <c r="H434" s="141">
        <f>E434*1428*1.05*1.051*1.051</f>
        <v>173.90506763699995</v>
      </c>
      <c r="I434" s="239"/>
      <c r="J434" s="96"/>
      <c r="K434" s="36"/>
      <c r="L434" s="96"/>
      <c r="M434" s="37"/>
      <c r="N434" s="16"/>
      <c r="O434" s="96"/>
      <c r="P434" s="18"/>
    </row>
    <row r="435" spans="1:16" s="12" customFormat="1" ht="60">
      <c r="A435" s="78"/>
      <c r="B435" s="181" t="s">
        <v>20</v>
      </c>
      <c r="C435" s="109">
        <v>10</v>
      </c>
      <c r="D435" s="111" t="s">
        <v>129</v>
      </c>
      <c r="E435" s="109">
        <f>E433*0.75</f>
        <v>0.315</v>
      </c>
      <c r="F435" s="113" t="s">
        <v>21</v>
      </c>
      <c r="G435" s="126" t="s">
        <v>333</v>
      </c>
      <c r="H435" s="141">
        <f>E435*18517</f>
        <v>5832.8550000000005</v>
      </c>
      <c r="I435" s="239"/>
      <c r="J435" s="96"/>
      <c r="K435" s="36"/>
      <c r="L435" s="96"/>
      <c r="M435" s="37"/>
      <c r="N435" s="16"/>
      <c r="O435" s="96"/>
      <c r="P435" s="18"/>
    </row>
    <row r="436" spans="1:16" s="12" customFormat="1">
      <c r="A436" s="78"/>
      <c r="B436" s="226" t="s">
        <v>320</v>
      </c>
      <c r="C436" s="184"/>
      <c r="D436" s="185"/>
      <c r="E436" s="184"/>
      <c r="F436" s="186"/>
      <c r="G436" s="187"/>
      <c r="H436" s="188">
        <f>H433+H434+H435</f>
        <v>7526.9144381432407</v>
      </c>
      <c r="I436" s="228">
        <v>6197.5431817192948</v>
      </c>
      <c r="J436" s="96"/>
      <c r="K436" s="36"/>
      <c r="L436" s="96"/>
      <c r="M436" s="37"/>
      <c r="N436" s="16"/>
      <c r="O436" s="96"/>
      <c r="P436" s="18"/>
    </row>
    <row r="437" spans="1:16" s="12" customFormat="1" ht="36" customHeight="1">
      <c r="A437" s="78"/>
      <c r="B437" s="142" t="s">
        <v>377</v>
      </c>
      <c r="C437" s="184"/>
      <c r="D437" s="185"/>
      <c r="E437" s="184"/>
      <c r="F437" s="186"/>
      <c r="G437" s="187"/>
      <c r="H437" s="188"/>
      <c r="I437" s="239"/>
      <c r="J437" s="96"/>
      <c r="K437" s="36"/>
      <c r="L437" s="96"/>
      <c r="M437" s="37"/>
      <c r="N437" s="16"/>
      <c r="O437" s="96"/>
      <c r="P437" s="18"/>
    </row>
    <row r="438" spans="1:16" s="12" customFormat="1" ht="30">
      <c r="A438" s="78"/>
      <c r="B438" s="142" t="s">
        <v>376</v>
      </c>
      <c r="C438" s="184"/>
      <c r="D438" s="185"/>
      <c r="E438" s="184"/>
      <c r="F438" s="186"/>
      <c r="G438" s="187"/>
      <c r="H438" s="188"/>
      <c r="I438" s="239"/>
      <c r="J438" s="96"/>
      <c r="K438" s="36"/>
      <c r="L438" s="96"/>
      <c r="M438" s="37"/>
      <c r="N438" s="16"/>
      <c r="O438" s="96"/>
      <c r="P438" s="18"/>
    </row>
    <row r="439" spans="1:16" s="12" customFormat="1" ht="45">
      <c r="A439" s="78"/>
      <c r="B439" s="119" t="s">
        <v>319</v>
      </c>
      <c r="C439" s="109">
        <v>10</v>
      </c>
      <c r="D439" s="111" t="s">
        <v>355</v>
      </c>
      <c r="E439" s="109">
        <v>1.002</v>
      </c>
      <c r="F439" s="113" t="s">
        <v>21</v>
      </c>
      <c r="G439" s="126" t="s">
        <v>335</v>
      </c>
      <c r="H439" s="141">
        <f>(2944*E439)*1.06*1.05*1.051*1.051</f>
        <v>3626.6539982077438</v>
      </c>
      <c r="I439" s="239"/>
      <c r="J439" s="96"/>
      <c r="K439" s="36"/>
      <c r="L439" s="96"/>
      <c r="M439" s="37"/>
      <c r="N439" s="16"/>
      <c r="O439" s="96"/>
      <c r="P439" s="18"/>
    </row>
    <row r="440" spans="1:16" s="12" customFormat="1">
      <c r="A440" s="78"/>
      <c r="B440" s="180" t="s">
        <v>112</v>
      </c>
      <c r="C440" s="109">
        <v>10</v>
      </c>
      <c r="D440" s="111">
        <v>1</v>
      </c>
      <c r="E440" s="109">
        <f>E439-E441</f>
        <v>0.25049999999999994</v>
      </c>
      <c r="F440" s="113" t="s">
        <v>21</v>
      </c>
      <c r="G440" s="126" t="s">
        <v>322</v>
      </c>
      <c r="H440" s="141">
        <f>E440*1428*1.05*1.051*1.051</f>
        <v>414.88780421969983</v>
      </c>
      <c r="I440" s="239"/>
      <c r="J440" s="96"/>
      <c r="K440" s="36"/>
      <c r="L440" s="96"/>
      <c r="M440" s="37"/>
      <c r="N440" s="16"/>
      <c r="O440" s="96"/>
      <c r="P440" s="18"/>
    </row>
    <row r="441" spans="1:16" s="12" customFormat="1" ht="60">
      <c r="A441" s="78"/>
      <c r="B441" s="181" t="s">
        <v>20</v>
      </c>
      <c r="C441" s="109">
        <v>10</v>
      </c>
      <c r="D441" s="111" t="s">
        <v>129</v>
      </c>
      <c r="E441" s="109">
        <f>E439*0.75</f>
        <v>0.75150000000000006</v>
      </c>
      <c r="F441" s="113" t="s">
        <v>21</v>
      </c>
      <c r="G441" s="126" t="s">
        <v>333</v>
      </c>
      <c r="H441" s="141">
        <f>E441*18517</f>
        <v>13915.525500000002</v>
      </c>
      <c r="I441" s="239"/>
      <c r="J441" s="96"/>
      <c r="K441" s="36"/>
      <c r="L441" s="96"/>
      <c r="M441" s="37"/>
      <c r="N441" s="16"/>
      <c r="O441" s="96"/>
      <c r="P441" s="18"/>
    </row>
    <row r="442" spans="1:16" s="12" customFormat="1">
      <c r="A442" s="78"/>
      <c r="B442" s="226" t="s">
        <v>320</v>
      </c>
      <c r="C442" s="184"/>
      <c r="D442" s="185"/>
      <c r="E442" s="184"/>
      <c r="F442" s="186"/>
      <c r="G442" s="187"/>
      <c r="H442" s="188">
        <f>H439+H440+H441</f>
        <v>17957.067302427444</v>
      </c>
      <c r="I442" s="228">
        <v>14785.56730495889</v>
      </c>
      <c r="J442" s="96"/>
      <c r="K442" s="36"/>
      <c r="L442" s="96"/>
      <c r="M442" s="37"/>
      <c r="N442" s="16"/>
      <c r="O442" s="96"/>
      <c r="P442" s="18"/>
    </row>
    <row r="443" spans="1:16" s="12" customFormat="1">
      <c r="A443" s="78"/>
      <c r="B443" s="226" t="s">
        <v>213</v>
      </c>
      <c r="C443" s="184"/>
      <c r="D443" s="185"/>
      <c r="E443" s="184"/>
      <c r="F443" s="186"/>
      <c r="G443" s="187"/>
      <c r="H443" s="188"/>
      <c r="I443" s="243"/>
      <c r="J443" s="96"/>
      <c r="K443" s="36"/>
      <c r="L443" s="96"/>
      <c r="M443" s="37"/>
      <c r="N443" s="16"/>
      <c r="O443" s="96"/>
      <c r="P443" s="18"/>
    </row>
    <row r="444" spans="1:16" s="12" customFormat="1" ht="30">
      <c r="A444" s="78"/>
      <c r="B444" s="106" t="s">
        <v>381</v>
      </c>
      <c r="C444" s="184"/>
      <c r="D444" s="185"/>
      <c r="E444" s="184"/>
      <c r="F444" s="186"/>
      <c r="G444" s="187"/>
      <c r="H444" s="188"/>
      <c r="I444" s="243"/>
      <c r="J444" s="96"/>
      <c r="K444" s="36"/>
      <c r="L444" s="96"/>
      <c r="M444" s="37"/>
      <c r="N444" s="16"/>
      <c r="O444" s="96"/>
      <c r="P444" s="18"/>
    </row>
    <row r="445" spans="1:16" s="12" customFormat="1" ht="45">
      <c r="A445" s="78"/>
      <c r="B445" s="119" t="s">
        <v>319</v>
      </c>
      <c r="C445" s="109">
        <v>10</v>
      </c>
      <c r="D445" s="111" t="s">
        <v>352</v>
      </c>
      <c r="E445" s="109">
        <v>1.7</v>
      </c>
      <c r="F445" s="113" t="s">
        <v>21</v>
      </c>
      <c r="G445" s="126" t="s">
        <v>321</v>
      </c>
      <c r="H445" s="141">
        <f>(2136*E445)*1.06*1.05*1.051*1.051*1.054</f>
        <v>4705.3439731270219</v>
      </c>
      <c r="I445" s="243"/>
      <c r="J445" s="96"/>
      <c r="K445" s="36"/>
      <c r="L445" s="96"/>
      <c r="M445" s="37"/>
      <c r="N445" s="16"/>
      <c r="O445" s="96"/>
      <c r="P445" s="18"/>
    </row>
    <row r="446" spans="1:16" s="12" customFormat="1">
      <c r="A446" s="78"/>
      <c r="B446" s="180" t="s">
        <v>112</v>
      </c>
      <c r="C446" s="109">
        <v>10</v>
      </c>
      <c r="D446" s="111">
        <v>1</v>
      </c>
      <c r="E446" s="109">
        <f>E445-E447</f>
        <v>1.3599999999999999</v>
      </c>
      <c r="F446" s="113" t="s">
        <v>21</v>
      </c>
      <c r="G446" s="126" t="s">
        <v>322</v>
      </c>
      <c r="H446" s="141">
        <f>E446*1428*1.05*1.051*1.051*1.054</f>
        <v>2374.1188586055359</v>
      </c>
      <c r="I446" s="243"/>
      <c r="J446" s="96"/>
      <c r="K446" s="36"/>
      <c r="L446" s="96"/>
      <c r="M446" s="37"/>
      <c r="N446" s="16"/>
      <c r="O446" s="96"/>
      <c r="P446" s="18"/>
    </row>
    <row r="447" spans="1:16" s="12" customFormat="1" ht="60">
      <c r="A447" s="78"/>
      <c r="B447" s="181" t="s">
        <v>20</v>
      </c>
      <c r="C447" s="109">
        <v>10</v>
      </c>
      <c r="D447" s="111" t="s">
        <v>129</v>
      </c>
      <c r="E447" s="109">
        <f>E445*0.2</f>
        <v>0.34</v>
      </c>
      <c r="F447" s="113" t="s">
        <v>21</v>
      </c>
      <c r="G447" s="126" t="s">
        <v>333</v>
      </c>
      <c r="H447" s="141">
        <f>E447*18517</f>
        <v>6295.7800000000007</v>
      </c>
      <c r="I447" s="243"/>
      <c r="J447" s="96"/>
      <c r="K447" s="36"/>
      <c r="L447" s="96"/>
      <c r="M447" s="37"/>
      <c r="N447" s="16"/>
      <c r="O447" s="96"/>
      <c r="P447" s="18"/>
    </row>
    <row r="448" spans="1:16" s="12" customFormat="1">
      <c r="A448" s="78"/>
      <c r="B448" s="226" t="s">
        <v>320</v>
      </c>
      <c r="C448" s="184"/>
      <c r="D448" s="185"/>
      <c r="E448" s="184"/>
      <c r="F448" s="186"/>
      <c r="G448" s="187"/>
      <c r="H448" s="188">
        <f>H445+H446+H447</f>
        <v>13375.242831732558</v>
      </c>
      <c r="I448" s="244">
        <v>9598.06</v>
      </c>
      <c r="J448" s="96"/>
      <c r="K448" s="36"/>
      <c r="L448" s="96"/>
      <c r="M448" s="37"/>
      <c r="N448" s="16"/>
      <c r="O448" s="96"/>
      <c r="P448" s="18"/>
    </row>
    <row r="449" spans="1:16" s="12" customFormat="1" ht="30">
      <c r="A449" s="78"/>
      <c r="B449" s="106" t="s">
        <v>382</v>
      </c>
      <c r="C449" s="184"/>
      <c r="D449" s="185"/>
      <c r="E449" s="184"/>
      <c r="F449" s="186"/>
      <c r="G449" s="187"/>
      <c r="H449" s="188"/>
      <c r="I449" s="243"/>
      <c r="J449" s="96"/>
      <c r="K449" s="36"/>
      <c r="L449" s="96"/>
      <c r="M449" s="37"/>
      <c r="N449" s="16"/>
      <c r="O449" s="96"/>
      <c r="P449" s="18"/>
    </row>
    <row r="450" spans="1:16" s="12" customFormat="1" ht="30">
      <c r="A450" s="78"/>
      <c r="B450" s="106" t="s">
        <v>381</v>
      </c>
      <c r="C450" s="184"/>
      <c r="D450" s="185"/>
      <c r="E450" s="184"/>
      <c r="F450" s="186"/>
      <c r="G450" s="187"/>
      <c r="H450" s="188"/>
      <c r="I450" s="243"/>
      <c r="J450" s="96"/>
      <c r="K450" s="36"/>
      <c r="L450" s="96"/>
      <c r="M450" s="37"/>
      <c r="N450" s="16"/>
      <c r="O450" s="96"/>
      <c r="P450" s="18"/>
    </row>
    <row r="451" spans="1:16" s="12" customFormat="1" ht="45">
      <c r="A451" s="78"/>
      <c r="B451" s="119" t="s">
        <v>319</v>
      </c>
      <c r="C451" s="109">
        <v>10</v>
      </c>
      <c r="D451" s="111" t="s">
        <v>352</v>
      </c>
      <c r="E451" s="109">
        <v>1.7</v>
      </c>
      <c r="F451" s="113" t="s">
        <v>21</v>
      </c>
      <c r="G451" s="126" t="s">
        <v>321</v>
      </c>
      <c r="H451" s="141">
        <f>(2136*E451)*1.06*1.05*1.051*1.051*1.054</f>
        <v>4705.3439731270219</v>
      </c>
      <c r="I451" s="243"/>
      <c r="J451" s="96"/>
      <c r="K451" s="36"/>
      <c r="L451" s="96"/>
      <c r="M451" s="37"/>
      <c r="N451" s="16"/>
      <c r="O451" s="96"/>
      <c r="P451" s="18"/>
    </row>
    <row r="452" spans="1:16" s="12" customFormat="1">
      <c r="A452" s="78"/>
      <c r="B452" s="180" t="s">
        <v>112</v>
      </c>
      <c r="C452" s="109">
        <v>10</v>
      </c>
      <c r="D452" s="111">
        <v>1</v>
      </c>
      <c r="E452" s="109">
        <f>E451-E453</f>
        <v>1.3599999999999999</v>
      </c>
      <c r="F452" s="113" t="s">
        <v>21</v>
      </c>
      <c r="G452" s="126" t="s">
        <v>322</v>
      </c>
      <c r="H452" s="141">
        <f>E452*1428*1.05*1.051*1.051*1.054</f>
        <v>2374.1188586055359</v>
      </c>
      <c r="I452" s="243"/>
      <c r="J452" s="96"/>
      <c r="K452" s="36"/>
      <c r="L452" s="96"/>
      <c r="M452" s="37"/>
      <c r="N452" s="16"/>
      <c r="O452" s="96"/>
      <c r="P452" s="18"/>
    </row>
    <row r="453" spans="1:16" s="12" customFormat="1" ht="60">
      <c r="A453" s="78"/>
      <c r="B453" s="181" t="s">
        <v>20</v>
      </c>
      <c r="C453" s="109">
        <v>10</v>
      </c>
      <c r="D453" s="111" t="s">
        <v>129</v>
      </c>
      <c r="E453" s="109">
        <f>E451*0.2</f>
        <v>0.34</v>
      </c>
      <c r="F453" s="113" t="s">
        <v>21</v>
      </c>
      <c r="G453" s="126" t="s">
        <v>333</v>
      </c>
      <c r="H453" s="141">
        <f>E453*18517</f>
        <v>6295.7800000000007</v>
      </c>
      <c r="I453" s="243"/>
      <c r="J453" s="96"/>
      <c r="K453" s="36"/>
      <c r="L453" s="96"/>
      <c r="M453" s="37"/>
      <c r="N453" s="16"/>
      <c r="O453" s="96"/>
      <c r="P453" s="18"/>
    </row>
    <row r="454" spans="1:16" s="12" customFormat="1">
      <c r="A454" s="78"/>
      <c r="B454" s="226" t="s">
        <v>320</v>
      </c>
      <c r="C454" s="184"/>
      <c r="D454" s="185"/>
      <c r="E454" s="184"/>
      <c r="F454" s="186"/>
      <c r="G454" s="187"/>
      <c r="H454" s="188">
        <f>H451+H452+H453</f>
        <v>13375.242831732558</v>
      </c>
      <c r="I454" s="244">
        <v>9598.06</v>
      </c>
      <c r="J454" s="96"/>
      <c r="K454" s="36"/>
      <c r="L454" s="96"/>
      <c r="M454" s="37"/>
      <c r="N454" s="16"/>
      <c r="O454" s="96"/>
      <c r="P454" s="18"/>
    </row>
    <row r="455" spans="1:16" s="12" customFormat="1" ht="30">
      <c r="A455" s="78"/>
      <c r="B455" s="142" t="s">
        <v>384</v>
      </c>
      <c r="C455" s="184"/>
      <c r="D455" s="185"/>
      <c r="E455" s="184"/>
      <c r="F455" s="186"/>
      <c r="G455" s="187"/>
      <c r="H455" s="188"/>
      <c r="I455" s="239"/>
      <c r="J455" s="96"/>
      <c r="K455" s="36"/>
      <c r="L455" s="96"/>
      <c r="M455" s="37"/>
      <c r="N455" s="16"/>
      <c r="O455" s="96"/>
      <c r="P455" s="18"/>
    </row>
    <row r="456" spans="1:16" s="12" customFormat="1" ht="45">
      <c r="A456" s="78"/>
      <c r="B456" s="119" t="s">
        <v>319</v>
      </c>
      <c r="C456" s="109">
        <v>10</v>
      </c>
      <c r="D456" s="111" t="s">
        <v>355</v>
      </c>
      <c r="E456" s="109">
        <v>2.4</v>
      </c>
      <c r="F456" s="113" t="s">
        <v>21</v>
      </c>
      <c r="G456" s="126" t="s">
        <v>335</v>
      </c>
      <c r="H456" s="141">
        <f>(2944*E456)*1.06*1.05*1.051*1.051*1.054</f>
        <v>9155.6726086490107</v>
      </c>
      <c r="I456" s="122"/>
      <c r="J456" s="96"/>
      <c r="K456" s="36"/>
      <c r="L456" s="96"/>
      <c r="M456" s="37"/>
      <c r="N456" s="16"/>
      <c r="O456" s="96"/>
      <c r="P456" s="18"/>
    </row>
    <row r="457" spans="1:16" s="12" customFormat="1">
      <c r="A457" s="78"/>
      <c r="B457" s="180" t="s">
        <v>112</v>
      </c>
      <c r="C457" s="109">
        <v>10</v>
      </c>
      <c r="D457" s="111">
        <v>1</v>
      </c>
      <c r="E457" s="109">
        <f>E456-E458</f>
        <v>0.60000000000000009</v>
      </c>
      <c r="F457" s="113" t="s">
        <v>21</v>
      </c>
      <c r="G457" s="126" t="s">
        <v>322</v>
      </c>
      <c r="H457" s="141">
        <f>E457*1428*1.05*1.051*1.051*1.054</f>
        <v>1047.4053787965602</v>
      </c>
      <c r="I457" s="122"/>
      <c r="J457" s="96"/>
      <c r="K457" s="36"/>
      <c r="L457" s="96"/>
      <c r="M457" s="37"/>
      <c r="N457" s="16"/>
      <c r="O457" s="96"/>
      <c r="P457" s="18"/>
    </row>
    <row r="458" spans="1:16" s="12" customFormat="1" ht="60">
      <c r="A458" s="78"/>
      <c r="B458" s="181" t="s">
        <v>20</v>
      </c>
      <c r="C458" s="109">
        <v>10</v>
      </c>
      <c r="D458" s="111" t="s">
        <v>129</v>
      </c>
      <c r="E458" s="109">
        <f>E456*0.75</f>
        <v>1.7999999999999998</v>
      </c>
      <c r="F458" s="113" t="s">
        <v>21</v>
      </c>
      <c r="G458" s="126" t="s">
        <v>333</v>
      </c>
      <c r="H458" s="141">
        <f>E458*18517</f>
        <v>33330.6</v>
      </c>
      <c r="I458" s="122"/>
      <c r="J458" s="96"/>
      <c r="K458" s="36"/>
      <c r="L458" s="96"/>
      <c r="M458" s="37"/>
      <c r="N458" s="16"/>
      <c r="O458" s="96"/>
      <c r="P458" s="18"/>
    </row>
    <row r="459" spans="1:16" s="12" customFormat="1">
      <c r="A459" s="78"/>
      <c r="B459" s="226" t="s">
        <v>320</v>
      </c>
      <c r="C459" s="184"/>
      <c r="D459" s="185"/>
      <c r="E459" s="184"/>
      <c r="F459" s="186"/>
      <c r="G459" s="187"/>
      <c r="H459" s="188">
        <f>H456+H457+H458</f>
        <v>43533.677987445568</v>
      </c>
      <c r="I459" s="210">
        <v>39342.570750073515</v>
      </c>
      <c r="J459" s="96"/>
      <c r="K459" s="36"/>
      <c r="L459" s="96"/>
      <c r="M459" s="37"/>
      <c r="N459" s="16"/>
      <c r="O459" s="96"/>
      <c r="P459" s="18"/>
    </row>
    <row r="460" spans="1:16" s="12" customFormat="1" ht="30">
      <c r="A460" s="78"/>
      <c r="B460" s="245" t="s">
        <v>385</v>
      </c>
      <c r="C460" s="184"/>
      <c r="D460" s="185"/>
      <c r="E460" s="184"/>
      <c r="F460" s="186"/>
      <c r="G460" s="187"/>
      <c r="H460" s="188"/>
      <c r="I460" s="210"/>
      <c r="J460" s="96"/>
      <c r="K460" s="36"/>
      <c r="L460" s="96"/>
      <c r="M460" s="37"/>
      <c r="N460" s="16"/>
      <c r="O460" s="96"/>
      <c r="P460" s="18"/>
    </row>
    <row r="461" spans="1:16" s="12" customFormat="1" ht="45">
      <c r="A461" s="78"/>
      <c r="B461" s="119" t="s">
        <v>319</v>
      </c>
      <c r="C461" s="109">
        <v>10</v>
      </c>
      <c r="D461" s="111" t="s">
        <v>355</v>
      </c>
      <c r="E461" s="109">
        <v>2.4</v>
      </c>
      <c r="F461" s="113" t="s">
        <v>21</v>
      </c>
      <c r="G461" s="126" t="s">
        <v>335</v>
      </c>
      <c r="H461" s="141">
        <f>(2944*E461)*1.06*1.05*1.051*1.051*1.054</f>
        <v>9155.6726086490107</v>
      </c>
      <c r="I461" s="210"/>
      <c r="J461" s="96"/>
      <c r="K461" s="36"/>
      <c r="L461" s="96"/>
      <c r="M461" s="37"/>
      <c r="N461" s="16"/>
      <c r="O461" s="96"/>
      <c r="P461" s="18"/>
    </row>
    <row r="462" spans="1:16" s="12" customFormat="1">
      <c r="A462" s="78"/>
      <c r="B462" s="180" t="s">
        <v>112</v>
      </c>
      <c r="C462" s="109">
        <v>10</v>
      </c>
      <c r="D462" s="111">
        <v>1</v>
      </c>
      <c r="E462" s="109">
        <f>E461-E463</f>
        <v>1.2</v>
      </c>
      <c r="F462" s="113" t="s">
        <v>21</v>
      </c>
      <c r="G462" s="126" t="s">
        <v>322</v>
      </c>
      <c r="H462" s="141">
        <f>E462*1428*1.05*1.051*1.051*1.054</f>
        <v>2094.8107575931199</v>
      </c>
      <c r="I462" s="210"/>
      <c r="J462" s="96"/>
      <c r="K462" s="36"/>
      <c r="L462" s="96"/>
      <c r="M462" s="37"/>
      <c r="N462" s="16"/>
      <c r="O462" s="96"/>
      <c r="P462" s="18"/>
    </row>
    <row r="463" spans="1:16" s="12" customFormat="1" ht="60">
      <c r="A463" s="78"/>
      <c r="B463" s="181" t="s">
        <v>20</v>
      </c>
      <c r="C463" s="109">
        <v>10</v>
      </c>
      <c r="D463" s="111" t="s">
        <v>129</v>
      </c>
      <c r="E463" s="109">
        <f>E461*0.5</f>
        <v>1.2</v>
      </c>
      <c r="F463" s="113" t="s">
        <v>21</v>
      </c>
      <c r="G463" s="126" t="s">
        <v>333</v>
      </c>
      <c r="H463" s="141">
        <f>E463*18517</f>
        <v>22220.399999999998</v>
      </c>
      <c r="I463" s="210"/>
      <c r="J463" s="96"/>
      <c r="K463" s="36"/>
      <c r="L463" s="96"/>
      <c r="M463" s="37"/>
      <c r="N463" s="16"/>
      <c r="O463" s="96"/>
      <c r="P463" s="18"/>
    </row>
    <row r="464" spans="1:16" s="12" customFormat="1">
      <c r="A464" s="78"/>
      <c r="B464" s="226" t="s">
        <v>320</v>
      </c>
      <c r="C464" s="184"/>
      <c r="D464" s="185"/>
      <c r="E464" s="184"/>
      <c r="F464" s="186"/>
      <c r="G464" s="187"/>
      <c r="H464" s="188">
        <f>H461+H462+H463</f>
        <v>33470.883366242124</v>
      </c>
      <c r="I464" s="210">
        <v>22048.329475244191</v>
      </c>
      <c r="J464" s="96"/>
      <c r="K464" s="36"/>
      <c r="L464" s="96"/>
      <c r="M464" s="37"/>
      <c r="N464" s="16"/>
      <c r="O464" s="96"/>
      <c r="P464" s="18"/>
    </row>
    <row r="465" spans="1:16" s="12" customFormat="1" ht="30">
      <c r="A465" s="78"/>
      <c r="B465" s="245" t="s">
        <v>386</v>
      </c>
      <c r="C465" s="184"/>
      <c r="D465" s="185"/>
      <c r="E465" s="184"/>
      <c r="F465" s="186"/>
      <c r="G465" s="187"/>
      <c r="H465" s="188"/>
      <c r="I465" s="210"/>
      <c r="J465" s="96"/>
      <c r="K465" s="36"/>
      <c r="L465" s="96"/>
      <c r="M465" s="37"/>
      <c r="N465" s="16"/>
      <c r="O465" s="96"/>
      <c r="P465" s="18"/>
    </row>
    <row r="466" spans="1:16" s="12" customFormat="1" ht="45">
      <c r="A466" s="78"/>
      <c r="B466" s="119" t="s">
        <v>319</v>
      </c>
      <c r="C466" s="109">
        <v>10</v>
      </c>
      <c r="D466" s="111" t="s">
        <v>355</v>
      </c>
      <c r="E466" s="109">
        <v>1.7949999999999999</v>
      </c>
      <c r="F466" s="113" t="s">
        <v>21</v>
      </c>
      <c r="G466" s="126" t="s">
        <v>335</v>
      </c>
      <c r="H466" s="141">
        <f>(2944*E466)*1.06*1.05*1.051*1.051*1.054</f>
        <v>6847.6801385520721</v>
      </c>
      <c r="I466" s="210"/>
      <c r="J466" s="96"/>
      <c r="K466" s="36"/>
      <c r="L466" s="96"/>
      <c r="M466" s="37"/>
      <c r="N466" s="16"/>
      <c r="O466" s="96"/>
      <c r="P466" s="18"/>
    </row>
    <row r="467" spans="1:16" s="12" customFormat="1">
      <c r="A467" s="78"/>
      <c r="B467" s="180" t="s">
        <v>112</v>
      </c>
      <c r="C467" s="109">
        <v>10</v>
      </c>
      <c r="D467" s="111">
        <v>1</v>
      </c>
      <c r="E467" s="109">
        <f>E466-E468</f>
        <v>1.077</v>
      </c>
      <c r="F467" s="113" t="s">
        <v>21</v>
      </c>
      <c r="G467" s="126" t="s">
        <v>322</v>
      </c>
      <c r="H467" s="141">
        <f>E467*1428*1.05*1.051*1.051*1.054</f>
        <v>1880.0926549398248</v>
      </c>
      <c r="I467" s="210"/>
      <c r="J467" s="96"/>
      <c r="K467" s="36"/>
      <c r="L467" s="96"/>
      <c r="M467" s="37"/>
      <c r="N467" s="16"/>
      <c r="O467" s="96"/>
      <c r="P467" s="18"/>
    </row>
    <row r="468" spans="1:16" s="12" customFormat="1" ht="21.75" customHeight="1">
      <c r="A468" s="78"/>
      <c r="B468" s="181" t="s">
        <v>20</v>
      </c>
      <c r="C468" s="109">
        <v>10</v>
      </c>
      <c r="D468" s="111" t="s">
        <v>129</v>
      </c>
      <c r="E468" s="109">
        <f>E466*0.4</f>
        <v>0.71799999999999997</v>
      </c>
      <c r="F468" s="113" t="s">
        <v>21</v>
      </c>
      <c r="G468" s="126" t="s">
        <v>333</v>
      </c>
      <c r="H468" s="141">
        <f>E468*18517</f>
        <v>13295.206</v>
      </c>
      <c r="I468" s="122"/>
      <c r="J468" s="96"/>
      <c r="K468" s="36"/>
      <c r="L468" s="96"/>
      <c r="M468" s="37"/>
      <c r="N468" s="16"/>
      <c r="O468" s="96"/>
      <c r="P468" s="18"/>
    </row>
    <row r="469" spans="1:16" s="12" customFormat="1">
      <c r="A469" s="78"/>
      <c r="B469" s="226" t="s">
        <v>320</v>
      </c>
      <c r="C469" s="184"/>
      <c r="D469" s="185"/>
      <c r="E469" s="184"/>
      <c r="F469" s="186"/>
      <c r="G469" s="187"/>
      <c r="H469" s="188">
        <f>H466+H467+H468</f>
        <v>22022.978793491897</v>
      </c>
      <c r="I469" s="149">
        <v>22889.966112240199</v>
      </c>
      <c r="J469" s="96"/>
      <c r="K469" s="36"/>
      <c r="L469" s="96"/>
      <c r="M469" s="37"/>
      <c r="N469" s="16"/>
      <c r="O469" s="96"/>
      <c r="P469" s="18"/>
    </row>
    <row r="470" spans="1:16" s="12" customFormat="1" ht="30">
      <c r="A470" s="78"/>
      <c r="B470" s="147" t="s">
        <v>387</v>
      </c>
      <c r="C470" s="184"/>
      <c r="D470" s="185"/>
      <c r="E470" s="184"/>
      <c r="F470" s="186"/>
      <c r="G470" s="187"/>
      <c r="H470" s="188"/>
      <c r="I470" s="122"/>
      <c r="J470" s="96"/>
      <c r="K470" s="36"/>
      <c r="L470" s="96"/>
      <c r="M470" s="37"/>
      <c r="N470" s="16"/>
      <c r="O470" s="96"/>
      <c r="P470" s="18"/>
    </row>
    <row r="471" spans="1:16" s="12" customFormat="1" ht="45">
      <c r="A471" s="78"/>
      <c r="B471" s="119" t="s">
        <v>319</v>
      </c>
      <c r="C471" s="109">
        <v>10</v>
      </c>
      <c r="D471" s="111" t="s">
        <v>355</v>
      </c>
      <c r="E471" s="109">
        <v>0.58499999999999996</v>
      </c>
      <c r="F471" s="113" t="s">
        <v>21</v>
      </c>
      <c r="G471" s="126" t="s">
        <v>330</v>
      </c>
      <c r="H471" s="141">
        <f>(2058*E471)*1.06*1.05*1.051*1.051*1.054</f>
        <v>1560.0641026566466</v>
      </c>
      <c r="I471" s="122"/>
      <c r="J471" s="96"/>
      <c r="K471" s="36"/>
      <c r="L471" s="96"/>
      <c r="M471" s="37"/>
      <c r="N471" s="16"/>
      <c r="O471" s="96"/>
      <c r="P471" s="18"/>
    </row>
    <row r="472" spans="1:16" s="12" customFormat="1">
      <c r="A472" s="78"/>
      <c r="B472" s="180" t="s">
        <v>112</v>
      </c>
      <c r="C472" s="109">
        <v>10</v>
      </c>
      <c r="D472" s="111">
        <v>1</v>
      </c>
      <c r="E472" s="109">
        <f>E471-E473</f>
        <v>0.29249999999999998</v>
      </c>
      <c r="F472" s="113" t="s">
        <v>21</v>
      </c>
      <c r="G472" s="126" t="s">
        <v>322</v>
      </c>
      <c r="H472" s="141">
        <f>E472*1428*1.05*1.051*1.051*1.054</f>
        <v>510.6101221633229</v>
      </c>
      <c r="I472" s="122"/>
      <c r="J472" s="96"/>
      <c r="K472" s="36"/>
      <c r="L472" s="96"/>
      <c r="M472" s="37"/>
      <c r="N472" s="16"/>
      <c r="O472" s="96"/>
      <c r="P472" s="18"/>
    </row>
    <row r="473" spans="1:16" s="12" customFormat="1" ht="60">
      <c r="A473" s="78"/>
      <c r="B473" s="181" t="s">
        <v>20</v>
      </c>
      <c r="C473" s="109">
        <v>10</v>
      </c>
      <c r="D473" s="111" t="s">
        <v>129</v>
      </c>
      <c r="E473" s="109">
        <f>E471*0.5</f>
        <v>0.29249999999999998</v>
      </c>
      <c r="F473" s="113" t="s">
        <v>21</v>
      </c>
      <c r="G473" s="126" t="s">
        <v>333</v>
      </c>
      <c r="H473" s="141">
        <f>E473*18517</f>
        <v>5416.2224999999999</v>
      </c>
      <c r="I473" s="122"/>
      <c r="J473" s="96"/>
      <c r="K473" s="36"/>
      <c r="L473" s="96"/>
      <c r="M473" s="37"/>
      <c r="N473" s="16"/>
      <c r="O473" s="96"/>
      <c r="P473" s="18"/>
    </row>
    <row r="474" spans="1:16" s="12" customFormat="1">
      <c r="A474" s="78"/>
      <c r="B474" s="226" t="s">
        <v>320</v>
      </c>
      <c r="C474" s="184"/>
      <c r="D474" s="185"/>
      <c r="E474" s="184"/>
      <c r="F474" s="186"/>
      <c r="G474" s="187"/>
      <c r="H474" s="188">
        <f>H471+H472+H473</f>
        <v>7486.8967248199697</v>
      </c>
      <c r="I474" s="210">
        <v>4933.6294908869595</v>
      </c>
      <c r="J474" s="96"/>
      <c r="K474" s="36"/>
      <c r="L474" s="96"/>
      <c r="M474" s="37"/>
      <c r="N474" s="16"/>
      <c r="O474" s="96"/>
      <c r="P474" s="18"/>
    </row>
    <row r="475" spans="1:16" s="12" customFormat="1">
      <c r="A475" s="78"/>
      <c r="B475" s="226" t="s">
        <v>243</v>
      </c>
      <c r="C475" s="184"/>
      <c r="D475" s="185"/>
      <c r="E475" s="184"/>
      <c r="F475" s="186"/>
      <c r="G475" s="187"/>
      <c r="H475" s="188"/>
      <c r="I475" s="122"/>
      <c r="J475" s="96"/>
      <c r="K475" s="36"/>
      <c r="L475" s="96"/>
      <c r="M475" s="37"/>
      <c r="N475" s="16"/>
      <c r="O475" s="96"/>
      <c r="P475" s="18"/>
    </row>
    <row r="476" spans="1:16" s="12" customFormat="1" ht="30">
      <c r="A476" s="78"/>
      <c r="B476" s="114" t="s">
        <v>396</v>
      </c>
      <c r="C476" s="184"/>
      <c r="D476" s="185"/>
      <c r="E476" s="184"/>
      <c r="F476" s="186"/>
      <c r="G476" s="187"/>
      <c r="H476" s="188"/>
      <c r="I476" s="122"/>
      <c r="J476" s="96"/>
      <c r="K476" s="36"/>
      <c r="L476" s="96"/>
      <c r="M476" s="37"/>
      <c r="N476" s="16"/>
      <c r="O476" s="96"/>
      <c r="P476" s="18"/>
    </row>
    <row r="477" spans="1:16" s="12" customFormat="1" ht="45">
      <c r="A477" s="78"/>
      <c r="B477" s="119" t="s">
        <v>319</v>
      </c>
      <c r="C477" s="109">
        <v>10</v>
      </c>
      <c r="D477" s="111" t="s">
        <v>354</v>
      </c>
      <c r="E477" s="109">
        <v>0.42</v>
      </c>
      <c r="F477" s="113" t="s">
        <v>21</v>
      </c>
      <c r="G477" s="126" t="s">
        <v>330</v>
      </c>
      <c r="H477" s="141">
        <f>(2058*E477)*1.06*1.05*1.051*1.051*1.054*1.049</f>
        <v>1174.9282775187444</v>
      </c>
      <c r="I477" s="122"/>
      <c r="J477" s="96"/>
      <c r="K477" s="36"/>
      <c r="L477" s="96"/>
      <c r="M477" s="37"/>
      <c r="N477" s="16"/>
      <c r="O477" s="96"/>
      <c r="P477" s="18"/>
    </row>
    <row r="478" spans="1:16" s="12" customFormat="1">
      <c r="A478" s="78"/>
      <c r="B478" s="180" t="s">
        <v>112</v>
      </c>
      <c r="C478" s="109">
        <v>10</v>
      </c>
      <c r="D478" s="111">
        <v>1</v>
      </c>
      <c r="E478" s="109">
        <v>0.42</v>
      </c>
      <c r="F478" s="113" t="s">
        <v>21</v>
      </c>
      <c r="G478" s="126" t="s">
        <v>322</v>
      </c>
      <c r="H478" s="141">
        <f>E478*1428*1.05*1.051*1.051*1.054*1.049</f>
        <v>769.10976965031386</v>
      </c>
      <c r="I478" s="122"/>
      <c r="J478" s="96"/>
      <c r="K478" s="36"/>
      <c r="L478" s="96"/>
      <c r="M478" s="37"/>
      <c r="N478" s="16"/>
      <c r="O478" s="96"/>
      <c r="P478" s="18"/>
    </row>
    <row r="479" spans="1:16" s="12" customFormat="1">
      <c r="A479" s="78"/>
      <c r="B479" s="226" t="s">
        <v>320</v>
      </c>
      <c r="C479" s="184"/>
      <c r="D479" s="185"/>
      <c r="E479" s="184"/>
      <c r="F479" s="186"/>
      <c r="G479" s="187"/>
      <c r="H479" s="188">
        <f>H477+H478</f>
        <v>1944.0380471690582</v>
      </c>
      <c r="I479" s="244">
        <v>1378.2</v>
      </c>
      <c r="J479" s="96"/>
      <c r="K479" s="36"/>
      <c r="L479" s="96"/>
      <c r="M479" s="37"/>
      <c r="N479" s="16"/>
      <c r="O479" s="96"/>
      <c r="P479" s="18"/>
    </row>
    <row r="480" spans="1:16" s="12" customFormat="1" ht="35.25" customHeight="1">
      <c r="A480" s="78"/>
      <c r="B480" s="246" t="s">
        <v>397</v>
      </c>
      <c r="C480" s="184"/>
      <c r="D480" s="185"/>
      <c r="E480" s="184"/>
      <c r="F480" s="186"/>
      <c r="G480" s="187"/>
      <c r="H480" s="188"/>
      <c r="I480" s="244"/>
      <c r="J480" s="98"/>
      <c r="K480" s="36"/>
      <c r="L480" s="98"/>
      <c r="M480" s="37"/>
      <c r="N480" s="16"/>
      <c r="O480" s="98"/>
      <c r="P480" s="18"/>
    </row>
    <row r="481" spans="1:16" s="12" customFormat="1" ht="45">
      <c r="A481" s="78"/>
      <c r="B481" s="119" t="s">
        <v>319</v>
      </c>
      <c r="C481" s="109">
        <v>10</v>
      </c>
      <c r="D481" s="111" t="s">
        <v>355</v>
      </c>
      <c r="E481" s="109">
        <v>4.5999999999999996</v>
      </c>
      <c r="F481" s="113" t="s">
        <v>21</v>
      </c>
      <c r="G481" s="126" t="s">
        <v>330</v>
      </c>
      <c r="H481" s="141">
        <f>(2058*E481)*1.06*1.05*1.051*1.051*1.054*1.049</f>
        <v>12868.262087110053</v>
      </c>
      <c r="I481" s="122"/>
      <c r="J481" s="98"/>
      <c r="K481" s="36"/>
      <c r="L481" s="98"/>
      <c r="M481" s="37"/>
      <c r="N481" s="16"/>
      <c r="O481" s="98"/>
      <c r="P481" s="18"/>
    </row>
    <row r="482" spans="1:16" s="12" customFormat="1">
      <c r="A482" s="78"/>
      <c r="B482" s="180" t="s">
        <v>112</v>
      </c>
      <c r="C482" s="109">
        <v>10</v>
      </c>
      <c r="D482" s="111">
        <v>1</v>
      </c>
      <c r="E482" s="109">
        <f>E481-E483</f>
        <v>1.1040000000000001</v>
      </c>
      <c r="F482" s="113" t="s">
        <v>21</v>
      </c>
      <c r="G482" s="126" t="s">
        <v>322</v>
      </c>
      <c r="H482" s="141">
        <f>E482*1428*1.05*1.051*1.051*1.054*1.049</f>
        <v>2021.6599659379683</v>
      </c>
      <c r="I482" s="122"/>
      <c r="J482" s="98"/>
      <c r="K482" s="36"/>
      <c r="L482" s="98"/>
      <c r="M482" s="37"/>
      <c r="N482" s="16"/>
      <c r="O482" s="98"/>
      <c r="P482" s="18"/>
    </row>
    <row r="483" spans="1:16" s="12" customFormat="1" ht="60">
      <c r="A483" s="78"/>
      <c r="B483" s="181" t="s">
        <v>20</v>
      </c>
      <c r="C483" s="109">
        <v>10</v>
      </c>
      <c r="D483" s="111" t="s">
        <v>129</v>
      </c>
      <c r="E483" s="109">
        <f>E481*0.76</f>
        <v>3.4959999999999996</v>
      </c>
      <c r="F483" s="113" t="s">
        <v>21</v>
      </c>
      <c r="G483" s="126" t="s">
        <v>333</v>
      </c>
      <c r="H483" s="141">
        <f>E483*18517</f>
        <v>64735.431999999993</v>
      </c>
      <c r="I483" s="122"/>
      <c r="J483" s="98"/>
      <c r="K483" s="36"/>
      <c r="L483" s="98"/>
      <c r="M483" s="37"/>
      <c r="N483" s="16"/>
      <c r="O483" s="98"/>
      <c r="P483" s="18"/>
    </row>
    <row r="484" spans="1:16" s="12" customFormat="1">
      <c r="A484" s="78"/>
      <c r="B484" s="226" t="s">
        <v>320</v>
      </c>
      <c r="C484" s="184"/>
      <c r="D484" s="185"/>
      <c r="E484" s="184"/>
      <c r="F484" s="186"/>
      <c r="G484" s="187"/>
      <c r="H484" s="188">
        <f>H481+H482+H483</f>
        <v>79625.35405304801</v>
      </c>
      <c r="I484" s="228">
        <v>78576.174897052086</v>
      </c>
      <c r="J484" s="98"/>
      <c r="K484" s="36"/>
      <c r="L484" s="98"/>
      <c r="M484" s="37"/>
      <c r="N484" s="16"/>
      <c r="O484" s="98"/>
      <c r="P484" s="18"/>
    </row>
    <row r="485" spans="1:16" s="12" customFormat="1" ht="30.75" customHeight="1">
      <c r="A485" s="78"/>
      <c r="B485" s="246" t="s">
        <v>398</v>
      </c>
      <c r="C485" s="184"/>
      <c r="D485" s="185"/>
      <c r="E485" s="184"/>
      <c r="F485" s="186"/>
      <c r="G485" s="187"/>
      <c r="H485" s="188"/>
      <c r="I485" s="244"/>
      <c r="J485" s="98"/>
      <c r="K485" s="36"/>
      <c r="L485" s="98"/>
      <c r="M485" s="37"/>
      <c r="N485" s="16"/>
      <c r="O485" s="98"/>
      <c r="P485" s="18"/>
    </row>
    <row r="486" spans="1:16" s="12" customFormat="1" ht="45">
      <c r="A486" s="78"/>
      <c r="B486" s="119" t="s">
        <v>319</v>
      </c>
      <c r="C486" s="109">
        <v>10</v>
      </c>
      <c r="D486" s="111" t="s">
        <v>399</v>
      </c>
      <c r="E486" s="109">
        <v>1.33</v>
      </c>
      <c r="F486" s="113" t="s">
        <v>21</v>
      </c>
      <c r="G486" s="126" t="s">
        <v>330</v>
      </c>
      <c r="H486" s="141">
        <f>(2058*E486)*1.06*1.05*1.051*1.051*1.054*1.049</f>
        <v>3720.6062121426908</v>
      </c>
      <c r="I486" s="244"/>
      <c r="J486" s="98"/>
      <c r="K486" s="36"/>
      <c r="L486" s="98"/>
      <c r="M486" s="37"/>
      <c r="N486" s="16"/>
      <c r="O486" s="98"/>
      <c r="P486" s="18"/>
    </row>
    <row r="487" spans="1:16" s="12" customFormat="1">
      <c r="A487" s="78"/>
      <c r="B487" s="180" t="s">
        <v>112</v>
      </c>
      <c r="C487" s="109">
        <v>10</v>
      </c>
      <c r="D487" s="111">
        <v>1</v>
      </c>
      <c r="E487" s="109">
        <f>E486-E488</f>
        <v>0.53200000000000003</v>
      </c>
      <c r="F487" s="113" t="s">
        <v>21</v>
      </c>
      <c r="G487" s="126" t="s">
        <v>322</v>
      </c>
      <c r="H487" s="141">
        <f>E487*1428*1.05*1.051*1.051*1.054*1.049</f>
        <v>974.20570822373122</v>
      </c>
      <c r="I487" s="244"/>
      <c r="J487" s="98"/>
      <c r="K487" s="36"/>
      <c r="L487" s="98"/>
      <c r="M487" s="37"/>
      <c r="N487" s="16"/>
      <c r="O487" s="98"/>
      <c r="P487" s="18"/>
    </row>
    <row r="488" spans="1:16" s="12" customFormat="1" ht="60">
      <c r="A488" s="78"/>
      <c r="B488" s="181" t="s">
        <v>20</v>
      </c>
      <c r="C488" s="109">
        <v>10</v>
      </c>
      <c r="D488" s="111" t="s">
        <v>129</v>
      </c>
      <c r="E488" s="109">
        <f>E486*0.6</f>
        <v>0.79800000000000004</v>
      </c>
      <c r="F488" s="113" t="s">
        <v>21</v>
      </c>
      <c r="G488" s="126" t="s">
        <v>333</v>
      </c>
      <c r="H488" s="141">
        <f>E488*18517</f>
        <v>14776.566000000001</v>
      </c>
      <c r="I488" s="244"/>
      <c r="J488" s="98"/>
      <c r="K488" s="36"/>
      <c r="L488" s="98"/>
      <c r="M488" s="37"/>
      <c r="N488" s="16"/>
      <c r="O488" s="98"/>
      <c r="P488" s="18"/>
    </row>
    <row r="489" spans="1:16" s="12" customFormat="1">
      <c r="A489" s="78"/>
      <c r="B489" s="226" t="s">
        <v>320</v>
      </c>
      <c r="C489" s="184"/>
      <c r="D489" s="185"/>
      <c r="E489" s="184"/>
      <c r="F489" s="186"/>
      <c r="G489" s="187"/>
      <c r="H489" s="188">
        <f>H486+H487+H488</f>
        <v>19471.377920366423</v>
      </c>
      <c r="I489" s="247">
        <v>18627.497236653122</v>
      </c>
      <c r="J489" s="98"/>
      <c r="K489" s="36"/>
      <c r="L489" s="98"/>
      <c r="M489" s="37"/>
      <c r="N489" s="16"/>
      <c r="O489" s="98"/>
      <c r="P489" s="18"/>
    </row>
    <row r="490" spans="1:16" s="12" customFormat="1" ht="30">
      <c r="A490" s="78"/>
      <c r="B490" s="246" t="s">
        <v>400</v>
      </c>
      <c r="C490" s="184"/>
      <c r="D490" s="185"/>
      <c r="E490" s="184"/>
      <c r="F490" s="186"/>
      <c r="G490" s="187"/>
      <c r="H490" s="188"/>
      <c r="I490" s="122"/>
      <c r="J490" s="96"/>
      <c r="K490" s="36"/>
      <c r="L490" s="96"/>
      <c r="M490" s="37"/>
      <c r="N490" s="16"/>
      <c r="O490" s="96"/>
      <c r="P490" s="18"/>
    </row>
    <row r="491" spans="1:16" s="173" customFormat="1" ht="45">
      <c r="A491" s="162"/>
      <c r="B491" s="119" t="s">
        <v>319</v>
      </c>
      <c r="C491" s="109">
        <v>10</v>
      </c>
      <c r="D491" s="111" t="s">
        <v>399</v>
      </c>
      <c r="E491" s="109">
        <v>1.33</v>
      </c>
      <c r="F491" s="113" t="s">
        <v>21</v>
      </c>
      <c r="G491" s="126" t="s">
        <v>330</v>
      </c>
      <c r="H491" s="141">
        <f>(2058*E491)*1.06*1.05*1.051*1.051*1.054*1.049</f>
        <v>3720.6062121426908</v>
      </c>
      <c r="I491" s="244"/>
      <c r="J491" s="168"/>
      <c r="K491" s="169"/>
      <c r="L491" s="168"/>
      <c r="M491" s="170"/>
      <c r="N491" s="171"/>
      <c r="O491" s="168"/>
      <c r="P491" s="172"/>
    </row>
    <row r="492" spans="1:16" s="173" customFormat="1">
      <c r="A492" s="162"/>
      <c r="B492" s="180" t="s">
        <v>112</v>
      </c>
      <c r="C492" s="109">
        <v>10</v>
      </c>
      <c r="D492" s="111">
        <v>1</v>
      </c>
      <c r="E492" s="109">
        <f>E491-E493</f>
        <v>0.53200000000000003</v>
      </c>
      <c r="F492" s="113" t="s">
        <v>21</v>
      </c>
      <c r="G492" s="126" t="s">
        <v>322</v>
      </c>
      <c r="H492" s="141">
        <f>E492*1428*1.05*1.051*1.051*1.054*1.049</f>
        <v>974.20570822373122</v>
      </c>
      <c r="I492" s="244"/>
      <c r="J492" s="168"/>
      <c r="K492" s="169"/>
      <c r="L492" s="168"/>
      <c r="M492" s="170"/>
      <c r="N492" s="171"/>
      <c r="O492" s="168"/>
      <c r="P492" s="172"/>
    </row>
    <row r="493" spans="1:16" s="173" customFormat="1" ht="60">
      <c r="A493" s="162"/>
      <c r="B493" s="181" t="s">
        <v>20</v>
      </c>
      <c r="C493" s="109">
        <v>10</v>
      </c>
      <c r="D493" s="111" t="s">
        <v>129</v>
      </c>
      <c r="E493" s="109">
        <f>E491*0.6</f>
        <v>0.79800000000000004</v>
      </c>
      <c r="F493" s="113" t="s">
        <v>21</v>
      </c>
      <c r="G493" s="126" t="s">
        <v>333</v>
      </c>
      <c r="H493" s="141">
        <f>E493*18517</f>
        <v>14776.566000000001</v>
      </c>
      <c r="I493" s="244"/>
      <c r="J493" s="168"/>
      <c r="K493" s="169"/>
      <c r="L493" s="168"/>
      <c r="M493" s="170"/>
      <c r="N493" s="171"/>
      <c r="O493" s="168"/>
      <c r="P493" s="172"/>
    </row>
    <row r="494" spans="1:16" s="173" customFormat="1">
      <c r="A494" s="162"/>
      <c r="B494" s="226" t="s">
        <v>320</v>
      </c>
      <c r="C494" s="184"/>
      <c r="D494" s="185"/>
      <c r="E494" s="184"/>
      <c r="F494" s="186"/>
      <c r="G494" s="187"/>
      <c r="H494" s="188">
        <f>H491+H492+H493</f>
        <v>19471.377920366423</v>
      </c>
      <c r="I494" s="247">
        <v>18627.497236653122</v>
      </c>
      <c r="J494" s="168"/>
      <c r="K494" s="169"/>
      <c r="L494" s="168"/>
      <c r="M494" s="170"/>
      <c r="N494" s="171"/>
      <c r="O494" s="168"/>
      <c r="P494" s="172"/>
    </row>
    <row r="495" spans="1:16" s="173" customFormat="1" ht="30">
      <c r="A495" s="162"/>
      <c r="B495" s="248" t="s">
        <v>401</v>
      </c>
      <c r="C495" s="195"/>
      <c r="D495" s="196"/>
      <c r="E495" s="195"/>
      <c r="F495" s="197"/>
      <c r="G495" s="198"/>
      <c r="H495" s="199"/>
      <c r="I495" s="206"/>
      <c r="J495" s="168"/>
      <c r="K495" s="169"/>
      <c r="L495" s="168"/>
      <c r="M495" s="170"/>
      <c r="N495" s="171"/>
      <c r="O495" s="168"/>
      <c r="P495" s="172"/>
    </row>
    <row r="496" spans="1:16" s="173" customFormat="1" ht="45">
      <c r="A496" s="162"/>
      <c r="B496" s="119" t="s">
        <v>319</v>
      </c>
      <c r="C496" s="109">
        <v>10</v>
      </c>
      <c r="D496" s="111" t="s">
        <v>399</v>
      </c>
      <c r="E496" s="109">
        <v>2</v>
      </c>
      <c r="F496" s="113" t="s">
        <v>21</v>
      </c>
      <c r="G496" s="126" t="s">
        <v>330</v>
      </c>
      <c r="H496" s="141">
        <f>(2058*E496)*1.06*1.05*1.051*1.051*1.054*1.049</f>
        <v>5594.8965596130683</v>
      </c>
      <c r="I496" s="206"/>
      <c r="J496" s="168"/>
      <c r="K496" s="169"/>
      <c r="L496" s="168"/>
      <c r="M496" s="170"/>
      <c r="N496" s="171"/>
      <c r="O496" s="168"/>
      <c r="P496" s="172"/>
    </row>
    <row r="497" spans="1:16" s="173" customFormat="1">
      <c r="A497" s="162"/>
      <c r="B497" s="180" t="s">
        <v>112</v>
      </c>
      <c r="C497" s="109">
        <v>10</v>
      </c>
      <c r="D497" s="111">
        <v>1</v>
      </c>
      <c r="E497" s="109">
        <f>E496-E498</f>
        <v>0.8</v>
      </c>
      <c r="F497" s="113" t="s">
        <v>21</v>
      </c>
      <c r="G497" s="126" t="s">
        <v>322</v>
      </c>
      <c r="H497" s="141">
        <f>E497*1428*1.05*1.051*1.051*1.054*1.0049</f>
        <v>1403.3835535368844</v>
      </c>
      <c r="I497" s="206"/>
      <c r="J497" s="168"/>
      <c r="K497" s="169"/>
      <c r="L497" s="168"/>
      <c r="M497" s="170"/>
      <c r="N497" s="171"/>
      <c r="O497" s="168"/>
      <c r="P497" s="172"/>
    </row>
    <row r="498" spans="1:16" s="173" customFormat="1" ht="60">
      <c r="A498" s="162"/>
      <c r="B498" s="181" t="s">
        <v>20</v>
      </c>
      <c r="C498" s="109">
        <v>10</v>
      </c>
      <c r="D498" s="111" t="s">
        <v>129</v>
      </c>
      <c r="E498" s="109">
        <f>E496*0.6</f>
        <v>1.2</v>
      </c>
      <c r="F498" s="113" t="s">
        <v>21</v>
      </c>
      <c r="G498" s="126" t="s">
        <v>333</v>
      </c>
      <c r="H498" s="141">
        <f>E498*18517</f>
        <v>22220.399999999998</v>
      </c>
      <c r="I498" s="206"/>
      <c r="J498" s="168"/>
      <c r="K498" s="169"/>
      <c r="L498" s="168"/>
      <c r="M498" s="170"/>
      <c r="N498" s="171"/>
      <c r="O498" s="168"/>
      <c r="P498" s="172"/>
    </row>
    <row r="499" spans="1:16" s="173" customFormat="1">
      <c r="A499" s="162"/>
      <c r="B499" s="226" t="s">
        <v>320</v>
      </c>
      <c r="C499" s="184"/>
      <c r="D499" s="185"/>
      <c r="E499" s="184"/>
      <c r="F499" s="186"/>
      <c r="G499" s="187"/>
      <c r="H499" s="188">
        <f>H496+H497+H498</f>
        <v>29218.680113149952</v>
      </c>
      <c r="I499" s="249">
        <v>28011.274040079945</v>
      </c>
      <c r="J499" s="168"/>
      <c r="K499" s="169"/>
      <c r="L499" s="168"/>
      <c r="M499" s="170"/>
      <c r="N499" s="171"/>
      <c r="O499" s="168"/>
      <c r="P499" s="172"/>
    </row>
    <row r="500" spans="1:16" s="173" customFormat="1">
      <c r="A500" s="162"/>
      <c r="B500" s="250" t="s">
        <v>273</v>
      </c>
      <c r="C500" s="195"/>
      <c r="D500" s="196"/>
      <c r="E500" s="195"/>
      <c r="F500" s="197"/>
      <c r="G500" s="198"/>
      <c r="H500" s="199"/>
      <c r="I500" s="206"/>
      <c r="J500" s="168"/>
      <c r="K500" s="169"/>
      <c r="L500" s="168"/>
      <c r="M500" s="170"/>
      <c r="N500" s="171"/>
      <c r="O500" s="168"/>
      <c r="P500" s="172"/>
    </row>
    <row r="501" spans="1:16" s="173" customFormat="1" ht="45">
      <c r="A501" s="162"/>
      <c r="B501" s="248" t="s">
        <v>410</v>
      </c>
      <c r="C501" s="195"/>
      <c r="D501" s="196"/>
      <c r="E501" s="195"/>
      <c r="F501" s="197"/>
      <c r="G501" s="198"/>
      <c r="H501" s="199"/>
      <c r="I501" s="206"/>
      <c r="J501" s="168"/>
      <c r="K501" s="169"/>
      <c r="L501" s="168"/>
      <c r="M501" s="170"/>
      <c r="N501" s="171"/>
      <c r="O501" s="168"/>
      <c r="P501" s="172"/>
    </row>
    <row r="502" spans="1:16" s="173" customFormat="1" ht="45">
      <c r="A502" s="162"/>
      <c r="B502" s="119" t="s">
        <v>319</v>
      </c>
      <c r="C502" s="109">
        <v>10</v>
      </c>
      <c r="D502" s="111" t="s">
        <v>399</v>
      </c>
      <c r="E502" s="109">
        <v>3.22</v>
      </c>
      <c r="F502" s="113" t="s">
        <v>21</v>
      </c>
      <c r="G502" s="126" t="s">
        <v>330</v>
      </c>
      <c r="H502" s="141">
        <f>(2058*E502)*1.06*1.05*1.051*1.051*1.054*1.049*1.047</f>
        <v>9431.1492836429607</v>
      </c>
      <c r="I502" s="206"/>
      <c r="J502" s="168"/>
      <c r="K502" s="169"/>
      <c r="L502" s="168"/>
      <c r="M502" s="170"/>
      <c r="N502" s="171"/>
      <c r="O502" s="168"/>
      <c r="P502" s="172"/>
    </row>
    <row r="503" spans="1:16" s="173" customFormat="1">
      <c r="A503" s="162"/>
      <c r="B503" s="180" t="s">
        <v>112</v>
      </c>
      <c r="C503" s="109">
        <v>10</v>
      </c>
      <c r="D503" s="111">
        <v>1</v>
      </c>
      <c r="E503" s="109">
        <f>E502-E504</f>
        <v>0.80500000000000016</v>
      </c>
      <c r="F503" s="113" t="s">
        <v>21</v>
      </c>
      <c r="G503" s="126" t="s">
        <v>322</v>
      </c>
      <c r="H503" s="141">
        <f>E503*1428*1.05*1.051*1.051*1.054*1.049*1.047</f>
        <v>1543.4110302457677</v>
      </c>
      <c r="I503" s="206"/>
      <c r="J503" s="168"/>
      <c r="K503" s="169"/>
      <c r="L503" s="168"/>
      <c r="M503" s="170"/>
      <c r="N503" s="171"/>
      <c r="O503" s="168"/>
      <c r="P503" s="172"/>
    </row>
    <row r="504" spans="1:16" s="173" customFormat="1" ht="60">
      <c r="A504" s="162"/>
      <c r="B504" s="181" t="s">
        <v>20</v>
      </c>
      <c r="C504" s="109">
        <v>10</v>
      </c>
      <c r="D504" s="111" t="s">
        <v>129</v>
      </c>
      <c r="E504" s="109">
        <f>E502*0.75</f>
        <v>2.415</v>
      </c>
      <c r="F504" s="113" t="s">
        <v>21</v>
      </c>
      <c r="G504" s="126" t="s">
        <v>333</v>
      </c>
      <c r="H504" s="141">
        <f>E504*18517</f>
        <v>44718.555</v>
      </c>
      <c r="I504" s="206"/>
      <c r="J504" s="168"/>
      <c r="K504" s="169"/>
      <c r="L504" s="168"/>
      <c r="M504" s="170"/>
      <c r="N504" s="171"/>
      <c r="O504" s="168"/>
      <c r="P504" s="172"/>
    </row>
    <row r="505" spans="1:16" s="173" customFormat="1">
      <c r="A505" s="162"/>
      <c r="B505" s="251" t="s">
        <v>320</v>
      </c>
      <c r="C505" s="184"/>
      <c r="D505" s="185"/>
      <c r="E505" s="184"/>
      <c r="F505" s="186"/>
      <c r="G505" s="187"/>
      <c r="H505" s="188">
        <f>H502+H503+H504</f>
        <v>55693.115313888731</v>
      </c>
      <c r="I505" s="207">
        <v>55003.322427936466</v>
      </c>
      <c r="J505" s="168"/>
      <c r="K505" s="169"/>
      <c r="L505" s="168"/>
      <c r="M505" s="170"/>
      <c r="N505" s="171"/>
      <c r="O505" s="168"/>
      <c r="P505" s="172"/>
    </row>
    <row r="506" spans="1:16" s="173" customFormat="1" ht="45">
      <c r="A506" s="162"/>
      <c r="B506" s="248" t="s">
        <v>411</v>
      </c>
      <c r="C506" s="195"/>
      <c r="D506" s="196"/>
      <c r="E506" s="195"/>
      <c r="F506" s="197"/>
      <c r="G506" s="198"/>
      <c r="H506" s="199"/>
      <c r="I506" s="206"/>
      <c r="J506" s="168"/>
      <c r="K506" s="169"/>
      <c r="L506" s="168"/>
      <c r="M506" s="170"/>
      <c r="N506" s="171"/>
      <c r="O506" s="168"/>
      <c r="P506" s="172"/>
    </row>
    <row r="507" spans="1:16" s="173" customFormat="1" ht="45">
      <c r="A507" s="162"/>
      <c r="B507" s="119" t="s">
        <v>319</v>
      </c>
      <c r="C507" s="109">
        <v>10</v>
      </c>
      <c r="D507" s="111" t="s">
        <v>399</v>
      </c>
      <c r="E507" s="109">
        <v>2.4449999999999998</v>
      </c>
      <c r="F507" s="113" t="s">
        <v>21</v>
      </c>
      <c r="G507" s="126" t="s">
        <v>330</v>
      </c>
      <c r="H507" s="141">
        <f>(2058*E507)*1.06*1.05*1.051*1.051*1.054*1.049*1.047</f>
        <v>7161.2298132009437</v>
      </c>
      <c r="I507" s="206"/>
      <c r="J507" s="168"/>
      <c r="K507" s="169"/>
      <c r="L507" s="168"/>
      <c r="M507" s="170"/>
      <c r="N507" s="171"/>
      <c r="O507" s="168"/>
      <c r="P507" s="172"/>
    </row>
    <row r="508" spans="1:16" s="173" customFormat="1">
      <c r="A508" s="162"/>
      <c r="B508" s="180" t="s">
        <v>112</v>
      </c>
      <c r="C508" s="109">
        <v>10</v>
      </c>
      <c r="D508" s="111">
        <v>1</v>
      </c>
      <c r="E508" s="109">
        <f>E507-E509</f>
        <v>0.61125000000000007</v>
      </c>
      <c r="F508" s="113" t="s">
        <v>21</v>
      </c>
      <c r="G508" s="126" t="s">
        <v>322</v>
      </c>
      <c r="H508" s="141">
        <f>E508*1428*1.05*1.051*1.051*1.054*1.049*1.047</f>
        <v>1171.9378785561807</v>
      </c>
      <c r="I508" s="206"/>
      <c r="J508" s="168"/>
      <c r="K508" s="169"/>
      <c r="L508" s="168"/>
      <c r="M508" s="170"/>
      <c r="N508" s="171"/>
      <c r="O508" s="168"/>
      <c r="P508" s="172"/>
    </row>
    <row r="509" spans="1:16" s="173" customFormat="1" ht="60">
      <c r="A509" s="162"/>
      <c r="B509" s="181" t="s">
        <v>20</v>
      </c>
      <c r="C509" s="109">
        <v>10</v>
      </c>
      <c r="D509" s="111" t="s">
        <v>129</v>
      </c>
      <c r="E509" s="109">
        <f>E507*0.75</f>
        <v>1.8337499999999998</v>
      </c>
      <c r="F509" s="113" t="s">
        <v>21</v>
      </c>
      <c r="G509" s="126" t="s">
        <v>333</v>
      </c>
      <c r="H509" s="141">
        <f>E509*18517</f>
        <v>33955.548749999994</v>
      </c>
      <c r="I509" s="206"/>
      <c r="J509" s="168"/>
      <c r="K509" s="169"/>
      <c r="L509" s="168"/>
      <c r="M509" s="170"/>
      <c r="N509" s="171"/>
      <c r="O509" s="168"/>
      <c r="P509" s="172"/>
    </row>
    <row r="510" spans="1:16" s="173" customFormat="1">
      <c r="A510" s="162"/>
      <c r="B510" s="226" t="s">
        <v>320</v>
      </c>
      <c r="C510" s="184"/>
      <c r="D510" s="185"/>
      <c r="E510" s="184"/>
      <c r="F510" s="186"/>
      <c r="G510" s="187"/>
      <c r="H510" s="188">
        <f>H507+H508+H509</f>
        <v>42288.716441757118</v>
      </c>
      <c r="I510" s="252">
        <v>34428.441947288382</v>
      </c>
      <c r="J510" s="168"/>
      <c r="K510" s="169"/>
      <c r="L510" s="168"/>
      <c r="M510" s="170"/>
      <c r="N510" s="171"/>
      <c r="O510" s="168"/>
      <c r="P510" s="172"/>
    </row>
    <row r="511" spans="1:16" s="173" customFormat="1" ht="30">
      <c r="A511" s="162"/>
      <c r="B511" s="248" t="s">
        <v>412</v>
      </c>
      <c r="C511" s="195"/>
      <c r="D511" s="196"/>
      <c r="E511" s="195"/>
      <c r="F511" s="197"/>
      <c r="G511" s="198"/>
      <c r="H511" s="199"/>
      <c r="I511" s="206"/>
      <c r="J511" s="168"/>
      <c r="K511" s="169"/>
      <c r="L511" s="168"/>
      <c r="M511" s="170"/>
      <c r="N511" s="171"/>
      <c r="O511" s="168"/>
      <c r="P511" s="172"/>
    </row>
    <row r="512" spans="1:16" s="173" customFormat="1" ht="45">
      <c r="A512" s="162"/>
      <c r="B512" s="119" t="s">
        <v>319</v>
      </c>
      <c r="C512" s="109">
        <v>10</v>
      </c>
      <c r="D512" s="111" t="s">
        <v>355</v>
      </c>
      <c r="E512" s="109">
        <v>0.6</v>
      </c>
      <c r="F512" s="113" t="s">
        <v>21</v>
      </c>
      <c r="G512" s="126" t="s">
        <v>330</v>
      </c>
      <c r="H512" s="141">
        <f>(2058*E512)*1.06*1.05*1.051*1.051*1.054*1.049*1.047</f>
        <v>1757.3570093744645</v>
      </c>
      <c r="I512" s="206"/>
      <c r="J512" s="168"/>
      <c r="K512" s="169"/>
      <c r="L512" s="168"/>
      <c r="M512" s="170"/>
      <c r="N512" s="171"/>
      <c r="O512" s="168"/>
      <c r="P512" s="172"/>
    </row>
    <row r="513" spans="1:16" s="173" customFormat="1">
      <c r="A513" s="162"/>
      <c r="B513" s="180" t="s">
        <v>112</v>
      </c>
      <c r="C513" s="109">
        <v>10</v>
      </c>
      <c r="D513" s="111">
        <v>1</v>
      </c>
      <c r="E513" s="109">
        <f>E512-E514</f>
        <v>0.15000000000000002</v>
      </c>
      <c r="F513" s="113" t="s">
        <v>21</v>
      </c>
      <c r="G513" s="126" t="s">
        <v>322</v>
      </c>
      <c r="H513" s="141">
        <f>E513*1428*1.05*1.051*1.051*1.054*1.049*1.047</f>
        <v>287.5921174370996</v>
      </c>
      <c r="I513" s="206"/>
      <c r="J513" s="168"/>
      <c r="K513" s="169"/>
      <c r="L513" s="168"/>
      <c r="M513" s="170"/>
      <c r="N513" s="171"/>
      <c r="O513" s="168"/>
      <c r="P513" s="172"/>
    </row>
    <row r="514" spans="1:16" s="173" customFormat="1" ht="60">
      <c r="A514" s="162"/>
      <c r="B514" s="181" t="s">
        <v>20</v>
      </c>
      <c r="C514" s="109">
        <v>10</v>
      </c>
      <c r="D514" s="111" t="s">
        <v>129</v>
      </c>
      <c r="E514" s="109">
        <f>E512*0.75</f>
        <v>0.44999999999999996</v>
      </c>
      <c r="F514" s="113" t="s">
        <v>21</v>
      </c>
      <c r="G514" s="126" t="s">
        <v>333</v>
      </c>
      <c r="H514" s="141">
        <f>E514*18517</f>
        <v>8332.65</v>
      </c>
      <c r="I514" s="206"/>
      <c r="J514" s="168"/>
      <c r="K514" s="169"/>
      <c r="L514" s="168"/>
      <c r="M514" s="170"/>
      <c r="N514" s="171"/>
      <c r="O514" s="168"/>
      <c r="P514" s="172"/>
    </row>
    <row r="515" spans="1:16" s="173" customFormat="1">
      <c r="A515" s="162"/>
      <c r="B515" s="157" t="s">
        <v>320</v>
      </c>
      <c r="C515" s="10"/>
      <c r="D515" s="158"/>
      <c r="E515" s="10"/>
      <c r="F515" s="159"/>
      <c r="G515" s="160"/>
      <c r="H515" s="161">
        <f>H512+H513+H514</f>
        <v>10377.599126811563</v>
      </c>
      <c r="I515" s="178">
        <v>8594.3827747081814</v>
      </c>
      <c r="J515" s="168"/>
      <c r="K515" s="169"/>
      <c r="L515" s="168"/>
      <c r="M515" s="170"/>
      <c r="N515" s="171"/>
      <c r="O515" s="168"/>
      <c r="P515" s="172"/>
    </row>
    <row r="516" spans="1:16" s="173" customFormat="1">
      <c r="A516" s="162"/>
      <c r="B516" s="177"/>
      <c r="C516" s="163"/>
      <c r="D516" s="164"/>
      <c r="E516" s="163"/>
      <c r="F516" s="165"/>
      <c r="G516" s="166"/>
      <c r="H516" s="167"/>
      <c r="I516" s="172"/>
      <c r="J516" s="168"/>
      <c r="K516" s="169"/>
      <c r="L516" s="168"/>
      <c r="M516" s="170"/>
      <c r="N516" s="171"/>
      <c r="O516" s="168"/>
      <c r="P516" s="172"/>
    </row>
    <row r="517" spans="1:16" s="12" customFormat="1">
      <c r="A517" s="78"/>
      <c r="B517" s="157"/>
      <c r="C517" s="10"/>
      <c r="D517" s="158"/>
      <c r="E517" s="10"/>
      <c r="F517" s="159"/>
      <c r="G517" s="160"/>
      <c r="H517" s="161"/>
      <c r="I517" s="18"/>
      <c r="J517" s="96"/>
      <c r="K517" s="36"/>
      <c r="L517" s="96"/>
      <c r="M517" s="37"/>
      <c r="N517" s="16"/>
      <c r="O517" s="96"/>
      <c r="P517" s="18"/>
    </row>
    <row r="518" spans="1:16" s="12" customFormat="1">
      <c r="A518" s="78"/>
      <c r="B518" s="157"/>
      <c r="C518" s="10"/>
      <c r="D518" s="158"/>
      <c r="E518" s="10"/>
      <c r="F518" s="159"/>
      <c r="G518" s="160"/>
      <c r="H518" s="161"/>
      <c r="I518" s="18"/>
      <c r="J518" s="96"/>
      <c r="K518" s="36"/>
      <c r="L518" s="96"/>
      <c r="M518" s="37"/>
      <c r="N518" s="16"/>
      <c r="O518" s="96"/>
      <c r="P518" s="18"/>
    </row>
    <row r="519" spans="1:16" s="12" customFormat="1">
      <c r="A519" s="78"/>
      <c r="B519" s="15"/>
      <c r="C519" s="96"/>
      <c r="D519" s="36"/>
      <c r="E519" s="96"/>
      <c r="F519" s="37"/>
      <c r="G519" s="16"/>
      <c r="H519" s="102"/>
      <c r="I519" s="18"/>
      <c r="J519" s="96"/>
      <c r="K519" s="36"/>
      <c r="L519" s="96"/>
      <c r="M519" s="37"/>
      <c r="N519" s="16"/>
      <c r="O519" s="96"/>
      <c r="P519" s="18"/>
    </row>
    <row r="520" spans="1:16" s="12" customFormat="1">
      <c r="A520" s="78"/>
      <c r="B520" s="15"/>
      <c r="C520" s="96"/>
      <c r="D520" s="36"/>
      <c r="E520" s="96"/>
      <c r="F520" s="37"/>
      <c r="G520" s="16"/>
      <c r="H520" s="96"/>
      <c r="I520" s="18"/>
      <c r="J520" s="96"/>
      <c r="K520" s="36"/>
      <c r="L520" s="96"/>
      <c r="M520" s="37"/>
      <c r="N520" s="16"/>
      <c r="O520" s="96"/>
      <c r="P520" s="18"/>
    </row>
    <row r="521" spans="1:16" s="12" customFormat="1">
      <c r="A521" s="78" t="s">
        <v>1</v>
      </c>
      <c r="B521" s="15" t="s">
        <v>1</v>
      </c>
      <c r="C521" s="89"/>
      <c r="D521" s="36"/>
      <c r="E521" s="89"/>
      <c r="F521" s="37"/>
      <c r="G521" s="16"/>
      <c r="H521" s="89"/>
      <c r="I521" s="18"/>
      <c r="J521" s="89"/>
      <c r="K521" s="36"/>
      <c r="L521" s="89"/>
      <c r="M521" s="37"/>
      <c r="N521" s="16"/>
      <c r="O521" s="89"/>
      <c r="P521" s="18"/>
    </row>
    <row r="522" spans="1:16" s="12" customFormat="1">
      <c r="A522" s="78">
        <v>4</v>
      </c>
      <c r="B522" s="15" t="s">
        <v>6</v>
      </c>
      <c r="C522" s="89"/>
      <c r="D522" s="36"/>
      <c r="E522" s="89"/>
      <c r="F522" s="89"/>
      <c r="G522" s="89"/>
      <c r="H522" s="89"/>
      <c r="I522" s="18"/>
      <c r="J522" s="89"/>
      <c r="K522" s="36"/>
      <c r="L522" s="89"/>
      <c r="M522" s="89"/>
      <c r="N522" s="89"/>
      <c r="O522" s="89"/>
      <c r="P522" s="18"/>
    </row>
    <row r="523" spans="1:16" s="12" customFormat="1" ht="31.5">
      <c r="A523" s="78" t="s">
        <v>106</v>
      </c>
      <c r="B523" s="15" t="s">
        <v>76</v>
      </c>
      <c r="C523" s="89"/>
      <c r="D523" s="36"/>
      <c r="E523" s="89"/>
      <c r="F523" s="93" t="s">
        <v>3</v>
      </c>
      <c r="G523" s="16" t="s">
        <v>40</v>
      </c>
      <c r="H523" s="89"/>
      <c r="I523" s="18"/>
      <c r="J523" s="89"/>
      <c r="K523" s="36"/>
      <c r="L523" s="89"/>
      <c r="M523" s="93" t="s">
        <v>3</v>
      </c>
      <c r="N523" s="16" t="s">
        <v>40</v>
      </c>
      <c r="O523" s="89"/>
      <c r="P523" s="18"/>
    </row>
    <row r="524" spans="1:16" s="12" customFormat="1" ht="31.5">
      <c r="A524" s="78" t="s">
        <v>133</v>
      </c>
      <c r="B524" s="15" t="s">
        <v>77</v>
      </c>
      <c r="C524" s="89"/>
      <c r="D524" s="36"/>
      <c r="E524" s="89"/>
      <c r="F524" s="93" t="s">
        <v>3</v>
      </c>
      <c r="G524" s="16" t="s">
        <v>40</v>
      </c>
      <c r="H524" s="89"/>
      <c r="I524" s="18"/>
      <c r="J524" s="89"/>
      <c r="K524" s="36"/>
      <c r="L524" s="89"/>
      <c r="M524" s="93" t="s">
        <v>3</v>
      </c>
      <c r="N524" s="16" t="s">
        <v>40</v>
      </c>
      <c r="O524" s="89"/>
      <c r="P524" s="18"/>
    </row>
    <row r="525" spans="1:16" s="12" customFormat="1" ht="15" customHeight="1">
      <c r="A525" s="78" t="s">
        <v>1</v>
      </c>
      <c r="B525" s="15" t="s">
        <v>1</v>
      </c>
      <c r="C525" s="89"/>
      <c r="D525" s="36"/>
      <c r="E525" s="89"/>
      <c r="F525" s="93"/>
      <c r="G525" s="16"/>
      <c r="H525" s="89"/>
      <c r="I525" s="18"/>
      <c r="J525" s="89"/>
      <c r="K525" s="36"/>
      <c r="L525" s="89"/>
      <c r="M525" s="93"/>
      <c r="N525" s="16"/>
      <c r="O525" s="89"/>
      <c r="P525" s="18"/>
    </row>
    <row r="526" spans="1:16" ht="50.25" customHeight="1">
      <c r="A526" s="78"/>
      <c r="B526" s="51" t="s">
        <v>51</v>
      </c>
      <c r="C526" s="23"/>
      <c r="D526" s="89"/>
      <c r="E526" s="89"/>
      <c r="F526" s="89"/>
      <c r="G526" s="3"/>
      <c r="H526" s="3"/>
      <c r="I526" s="24"/>
      <c r="J526" s="23"/>
      <c r="K526" s="89"/>
      <c r="L526" s="89"/>
      <c r="M526" s="89"/>
      <c r="N526" s="3"/>
      <c r="O526" s="3"/>
      <c r="P526" s="24"/>
    </row>
    <row r="527" spans="1:16" ht="15.75" customHeight="1">
      <c r="D527" s="7"/>
      <c r="J527" s="32"/>
      <c r="K527" s="32"/>
    </row>
    <row r="528" spans="1:16" s="53" customFormat="1" ht="18.75" customHeight="1">
      <c r="A528" s="306"/>
      <c r="B528" s="306"/>
      <c r="C528" s="306"/>
      <c r="D528" s="306"/>
      <c r="E528" s="306"/>
      <c r="F528" s="306"/>
      <c r="G528" s="306"/>
      <c r="H528" s="91"/>
      <c r="I528" s="35"/>
    </row>
    <row r="529" spans="1:16" s="53" customFormat="1" ht="41.25" customHeight="1">
      <c r="A529" s="306"/>
      <c r="B529" s="306"/>
      <c r="C529" s="306"/>
      <c r="D529" s="306"/>
      <c r="E529" s="306"/>
      <c r="F529" s="306"/>
      <c r="G529" s="306"/>
      <c r="H529" s="91"/>
      <c r="I529" s="35"/>
    </row>
    <row r="530" spans="1:16" s="53" customFormat="1" ht="38.25" customHeight="1">
      <c r="A530" s="306"/>
      <c r="B530" s="306"/>
      <c r="C530" s="306"/>
      <c r="D530" s="306"/>
      <c r="E530" s="306"/>
      <c r="F530" s="306"/>
      <c r="G530" s="306"/>
      <c r="H530" s="94"/>
      <c r="I530" s="35"/>
    </row>
    <row r="531" spans="1:16" s="53" customFormat="1" ht="18.75" customHeight="1">
      <c r="A531" s="307"/>
      <c r="B531" s="307"/>
      <c r="C531" s="307"/>
      <c r="D531" s="307"/>
      <c r="E531" s="307"/>
      <c r="F531" s="307"/>
      <c r="G531" s="307"/>
      <c r="H531" s="91"/>
      <c r="I531" s="35"/>
    </row>
    <row r="532" spans="1:16" s="53" customFormat="1" ht="217.5" customHeight="1">
      <c r="A532" s="302"/>
      <c r="B532" s="305"/>
      <c r="C532" s="305"/>
      <c r="D532" s="305"/>
      <c r="E532" s="305"/>
      <c r="F532" s="305"/>
      <c r="G532" s="305"/>
      <c r="H532" s="91"/>
      <c r="I532" s="35"/>
    </row>
    <row r="533" spans="1:16" ht="53.25" customHeight="1">
      <c r="A533" s="302"/>
      <c r="B533" s="303"/>
      <c r="C533" s="303"/>
      <c r="D533" s="303"/>
      <c r="E533" s="303"/>
      <c r="F533" s="303"/>
      <c r="G533" s="303"/>
    </row>
    <row r="534" spans="1:16">
      <c r="A534" s="304"/>
      <c r="B534" s="304"/>
      <c r="C534" s="304"/>
      <c r="D534" s="304"/>
      <c r="E534" s="304"/>
      <c r="F534" s="304"/>
      <c r="G534" s="304"/>
    </row>
    <row r="535" spans="1:16" s="7" customFormat="1">
      <c r="A535" s="74"/>
      <c r="B535" s="94"/>
      <c r="D535" s="4"/>
      <c r="G535" s="87"/>
      <c r="H535" s="87"/>
      <c r="I535" s="5"/>
      <c r="J535" s="6"/>
      <c r="K535" s="6"/>
      <c r="L535" s="6"/>
      <c r="M535" s="6"/>
      <c r="N535" s="6"/>
      <c r="O535" s="6"/>
      <c r="P535" s="6"/>
    </row>
    <row r="539" spans="1:16" s="7" customFormat="1">
      <c r="A539" s="74"/>
      <c r="B539" s="94"/>
      <c r="D539" s="4"/>
      <c r="G539" s="87"/>
      <c r="H539" s="87"/>
      <c r="I539" s="5"/>
      <c r="J539" s="6"/>
      <c r="K539" s="6"/>
      <c r="L539" s="6"/>
      <c r="M539" s="6"/>
      <c r="N539" s="6"/>
      <c r="O539" s="6"/>
      <c r="P539" s="6"/>
    </row>
  </sheetData>
  <protectedRanges>
    <protectedRange password="CE28" sqref="B293" name="Диапазон1_2"/>
    <protectedRange password="CE28" sqref="B476" name="Диапазон1_8"/>
  </protectedRanges>
  <mergeCells count="18">
    <mergeCell ref="A533:G533"/>
    <mergeCell ref="A534:G534"/>
    <mergeCell ref="N5:P5"/>
    <mergeCell ref="A528:G528"/>
    <mergeCell ref="A529:G529"/>
    <mergeCell ref="A530:G530"/>
    <mergeCell ref="A531:G531"/>
    <mergeCell ref="A532:G5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60" fitToHeight="0" orientation="portrait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view="pageBreakPreview" topLeftCell="A7" zoomScale="85" zoomScaleNormal="70" zoomScaleSheetLayoutView="85" workbookViewId="0">
      <selection activeCell="E18" sqref="E18:G18"/>
    </sheetView>
  </sheetViews>
  <sheetFormatPr defaultRowHeight="15.75"/>
  <cols>
    <col min="1" max="1" width="11" style="7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2"/>
      <c r="K1" s="32"/>
    </row>
    <row r="2" spans="1:17" ht="42" customHeight="1">
      <c r="A2" s="311" t="s">
        <v>57</v>
      </c>
      <c r="B2" s="311"/>
      <c r="C2" s="311"/>
      <c r="D2" s="311"/>
      <c r="E2" s="311"/>
      <c r="F2" s="311"/>
      <c r="G2" s="311"/>
      <c r="J2" s="32"/>
      <c r="K2" s="32"/>
    </row>
    <row r="3" spans="1:17" ht="36" customHeight="1">
      <c r="A3" s="81" t="s">
        <v>0</v>
      </c>
      <c r="B3" s="1" t="s">
        <v>56</v>
      </c>
      <c r="C3" s="312" t="s">
        <v>41</v>
      </c>
      <c r="D3" s="312"/>
      <c r="E3" s="285" t="s">
        <v>42</v>
      </c>
      <c r="F3" s="285"/>
      <c r="G3" s="285"/>
      <c r="I3" s="54"/>
      <c r="J3" s="54"/>
      <c r="K3" s="62"/>
      <c r="L3" s="25"/>
      <c r="M3" s="26"/>
      <c r="N3" s="25"/>
      <c r="O3" s="32"/>
      <c r="P3" s="25"/>
      <c r="Q3" s="53"/>
    </row>
    <row r="4" spans="1:17" ht="15" customHeight="1">
      <c r="A4" s="82">
        <v>1</v>
      </c>
      <c r="B4" s="56">
        <v>2</v>
      </c>
      <c r="C4" s="313">
        <v>3</v>
      </c>
      <c r="D4" s="314"/>
      <c r="E4" s="315">
        <v>4</v>
      </c>
      <c r="F4" s="316"/>
      <c r="G4" s="317"/>
      <c r="I4" s="66"/>
      <c r="J4" s="35"/>
      <c r="K4" s="66"/>
      <c r="L4" s="35"/>
      <c r="M4" s="66"/>
      <c r="N4" s="35"/>
      <c r="O4" s="66"/>
      <c r="P4" s="35"/>
      <c r="Q4" s="66"/>
    </row>
    <row r="5" spans="1:17" ht="90.75" customHeight="1">
      <c r="A5" s="83">
        <v>1</v>
      </c>
      <c r="B5" s="52" t="s">
        <v>58</v>
      </c>
      <c r="C5" s="318"/>
      <c r="D5" s="318"/>
      <c r="E5" s="318"/>
      <c r="F5" s="318"/>
      <c r="G5" s="318"/>
      <c r="I5" s="66"/>
      <c r="J5" s="35"/>
      <c r="K5" s="32"/>
      <c r="L5" s="32"/>
      <c r="M5" s="53"/>
      <c r="N5" s="53"/>
      <c r="O5" s="53"/>
      <c r="P5" s="53"/>
      <c r="Q5" s="53"/>
    </row>
    <row r="6" spans="1:17">
      <c r="A6" s="83">
        <v>2</v>
      </c>
      <c r="B6" s="2" t="s">
        <v>7</v>
      </c>
      <c r="C6" s="319"/>
      <c r="D6" s="319"/>
      <c r="E6" s="319"/>
      <c r="F6" s="319"/>
      <c r="G6" s="319"/>
      <c r="I6" s="66"/>
      <c r="J6" s="35"/>
      <c r="K6" s="32"/>
      <c r="L6" s="32"/>
      <c r="M6" s="53"/>
      <c r="N6" s="53"/>
      <c r="O6" s="53"/>
      <c r="P6" s="53"/>
      <c r="Q6" s="53"/>
    </row>
    <row r="7" spans="1:17" ht="112.5" customHeight="1">
      <c r="A7" s="83">
        <v>3</v>
      </c>
      <c r="B7" s="2" t="s">
        <v>113</v>
      </c>
      <c r="C7" s="319"/>
      <c r="D7" s="319"/>
      <c r="E7" s="319"/>
      <c r="F7" s="319"/>
      <c r="G7" s="319"/>
      <c r="I7" s="66"/>
      <c r="J7" s="35"/>
      <c r="K7" s="32"/>
      <c r="L7" s="32"/>
      <c r="M7" s="53"/>
      <c r="N7" s="53"/>
      <c r="O7" s="53"/>
      <c r="P7" s="53"/>
      <c r="Q7" s="53"/>
    </row>
    <row r="8" spans="1:17" ht="53.25" customHeight="1">
      <c r="A8" s="55" t="s">
        <v>136</v>
      </c>
      <c r="B8" s="73" t="s">
        <v>60</v>
      </c>
      <c r="C8" s="308"/>
      <c r="D8" s="309"/>
      <c r="E8" s="308"/>
      <c r="F8" s="310"/>
      <c r="G8" s="309"/>
      <c r="H8" s="85"/>
      <c r="I8" s="86"/>
      <c r="J8" s="35"/>
      <c r="K8" s="32"/>
      <c r="L8" s="32"/>
      <c r="M8" s="53"/>
      <c r="N8" s="53"/>
      <c r="O8" s="53"/>
      <c r="P8" s="53"/>
      <c r="Q8" s="53"/>
    </row>
    <row r="9" spans="1:17" ht="69" customHeight="1">
      <c r="A9" s="55" t="s">
        <v>137</v>
      </c>
      <c r="B9" s="57" t="s">
        <v>114</v>
      </c>
      <c r="C9" s="320"/>
      <c r="D9" s="321"/>
      <c r="E9" s="322"/>
      <c r="F9" s="323"/>
      <c r="G9" s="324"/>
      <c r="H9" s="6"/>
      <c r="I9" s="6"/>
      <c r="J9" s="32"/>
      <c r="K9" s="32" t="s">
        <v>52</v>
      </c>
    </row>
    <row r="10" spans="1:17" ht="53.25" customHeight="1">
      <c r="A10" s="55" t="s">
        <v>138</v>
      </c>
      <c r="B10" s="57" t="s">
        <v>135</v>
      </c>
      <c r="C10" s="320"/>
      <c r="D10" s="321"/>
      <c r="E10" s="322"/>
      <c r="F10" s="323"/>
      <c r="G10" s="324"/>
      <c r="H10" s="6"/>
      <c r="I10" s="6"/>
      <c r="J10" s="32"/>
      <c r="K10" s="32"/>
    </row>
    <row r="11" spans="1:17" ht="84" customHeight="1">
      <c r="A11" s="55" t="s">
        <v>134</v>
      </c>
      <c r="B11" s="57" t="s">
        <v>59</v>
      </c>
      <c r="C11" s="320"/>
      <c r="D11" s="321"/>
      <c r="E11" s="322"/>
      <c r="F11" s="323"/>
      <c r="G11" s="324"/>
      <c r="H11" s="6"/>
      <c r="I11" s="6"/>
      <c r="J11" s="38"/>
      <c r="K11" s="38"/>
    </row>
    <row r="12" spans="1:17" ht="21" customHeight="1">
      <c r="A12" s="55" t="s">
        <v>53</v>
      </c>
      <c r="B12" s="58" t="s">
        <v>115</v>
      </c>
      <c r="C12" s="320"/>
      <c r="D12" s="321"/>
      <c r="E12" s="322"/>
      <c r="F12" s="323"/>
      <c r="G12" s="324"/>
      <c r="H12" s="6"/>
      <c r="I12" s="6"/>
    </row>
    <row r="13" spans="1:17" ht="18">
      <c r="A13" s="55" t="s">
        <v>54</v>
      </c>
      <c r="B13" s="58" t="s">
        <v>116</v>
      </c>
      <c r="C13" s="320"/>
      <c r="D13" s="321"/>
      <c r="E13" s="322"/>
      <c r="F13" s="323"/>
      <c r="G13" s="324"/>
      <c r="H13" s="6"/>
      <c r="I13" s="6"/>
    </row>
    <row r="14" spans="1:17" ht="18">
      <c r="A14" s="55" t="s">
        <v>61</v>
      </c>
      <c r="B14" s="58" t="s">
        <v>117</v>
      </c>
      <c r="C14" s="63"/>
      <c r="D14" s="64"/>
      <c r="E14" s="67"/>
      <c r="F14" s="68"/>
      <c r="G14" s="69"/>
      <c r="H14" s="6"/>
      <c r="I14" s="6"/>
    </row>
    <row r="15" spans="1:17">
      <c r="A15" s="55" t="s">
        <v>1</v>
      </c>
      <c r="B15" s="59" t="s">
        <v>1</v>
      </c>
      <c r="C15" s="320"/>
      <c r="D15" s="321"/>
      <c r="E15" s="322"/>
      <c r="F15" s="323"/>
      <c r="G15" s="324"/>
      <c r="H15" s="6"/>
      <c r="I15" s="6"/>
    </row>
    <row r="16" spans="1:17" ht="18">
      <c r="A16" s="55" t="s">
        <v>118</v>
      </c>
      <c r="B16" s="58" t="s">
        <v>119</v>
      </c>
      <c r="C16" s="320"/>
      <c r="D16" s="321"/>
      <c r="E16" s="322"/>
      <c r="F16" s="323"/>
      <c r="G16" s="324"/>
      <c r="H16" s="6"/>
      <c r="I16" s="6"/>
    </row>
    <row r="17" spans="1:9" ht="18">
      <c r="A17" s="55" t="s">
        <v>55</v>
      </c>
      <c r="B17" s="58" t="s">
        <v>120</v>
      </c>
      <c r="C17" s="325"/>
      <c r="D17" s="326"/>
      <c r="E17" s="288"/>
      <c r="F17" s="289"/>
      <c r="G17" s="290"/>
      <c r="H17" s="25"/>
      <c r="I17" s="27"/>
    </row>
    <row r="18" spans="1:9">
      <c r="A18" s="84"/>
      <c r="B18" s="61"/>
      <c r="C18" s="327"/>
      <c r="D18" s="327"/>
      <c r="E18" s="328"/>
      <c r="F18" s="328"/>
      <c r="G18" s="328"/>
    </row>
    <row r="19" spans="1:9" ht="18">
      <c r="A19" s="329" t="s">
        <v>124</v>
      </c>
      <c r="B19" s="329"/>
      <c r="C19" s="329"/>
      <c r="D19" s="329"/>
      <c r="E19" s="329"/>
      <c r="F19" s="329"/>
      <c r="G19" s="329"/>
    </row>
    <row r="20" spans="1:9" ht="36" customHeight="1">
      <c r="A20" s="330" t="s">
        <v>121</v>
      </c>
      <c r="B20" s="330"/>
      <c r="C20" s="330"/>
      <c r="D20" s="330"/>
      <c r="E20" s="330"/>
      <c r="F20" s="330"/>
      <c r="G20" s="330"/>
    </row>
    <row r="21" spans="1:9" ht="31.5" customHeight="1">
      <c r="A21" s="330" t="s">
        <v>122</v>
      </c>
      <c r="B21" s="330"/>
      <c r="C21" s="330"/>
      <c r="D21" s="330"/>
      <c r="E21" s="330"/>
      <c r="F21" s="330"/>
      <c r="G21" s="330"/>
      <c r="H21" s="60" t="s">
        <v>52</v>
      </c>
    </row>
    <row r="22" spans="1:9" s="53" customFormat="1" ht="69.75" customHeight="1">
      <c r="A22" s="330" t="s">
        <v>123</v>
      </c>
      <c r="B22" s="330"/>
      <c r="C22" s="330"/>
      <c r="D22" s="330"/>
      <c r="E22" s="330"/>
      <c r="F22" s="330"/>
      <c r="G22" s="330"/>
      <c r="H22" s="66"/>
      <c r="I22" s="35"/>
    </row>
    <row r="23" spans="1:9" s="53" customFormat="1" ht="18.75" customHeight="1">
      <c r="A23" s="306"/>
      <c r="B23" s="306"/>
      <c r="C23" s="306"/>
      <c r="D23" s="306"/>
      <c r="E23" s="306"/>
      <c r="F23" s="306"/>
      <c r="G23" s="306"/>
      <c r="H23" s="66"/>
      <c r="I23" s="35"/>
    </row>
    <row r="24" spans="1:9" s="53" customFormat="1" ht="41.25" customHeight="1">
      <c r="A24" s="306"/>
      <c r="B24" s="306"/>
      <c r="C24" s="306"/>
      <c r="D24" s="306"/>
      <c r="E24" s="306"/>
      <c r="F24" s="306"/>
      <c r="G24" s="306"/>
      <c r="H24" s="66"/>
      <c r="I24" s="35"/>
    </row>
    <row r="25" spans="1:9" s="53" customFormat="1" ht="38.25" customHeight="1">
      <c r="A25" s="306"/>
      <c r="B25" s="306"/>
      <c r="C25" s="306"/>
      <c r="D25" s="306"/>
      <c r="E25" s="306"/>
      <c r="F25" s="306"/>
      <c r="G25" s="306"/>
      <c r="H25"/>
      <c r="I25" s="35"/>
    </row>
    <row r="26" spans="1:9" s="53" customFormat="1" ht="18.75" customHeight="1">
      <c r="A26" s="307"/>
      <c r="B26" s="307"/>
      <c r="C26" s="307"/>
      <c r="D26" s="307"/>
      <c r="E26" s="307"/>
      <c r="F26" s="307"/>
      <c r="G26" s="307"/>
      <c r="H26" s="66"/>
      <c r="I26" s="35"/>
    </row>
    <row r="27" spans="1:9" s="53" customFormat="1" ht="217.5" customHeight="1">
      <c r="A27" s="302"/>
      <c r="B27" s="305"/>
      <c r="C27" s="305"/>
      <c r="D27" s="305"/>
      <c r="E27" s="305"/>
      <c r="F27" s="305"/>
      <c r="G27" s="305"/>
      <c r="H27" s="66"/>
      <c r="I27" s="35"/>
    </row>
    <row r="28" spans="1:9" ht="53.25" customHeight="1">
      <c r="A28" s="302"/>
      <c r="B28" s="303"/>
      <c r="C28" s="303"/>
      <c r="D28" s="303"/>
      <c r="E28" s="303"/>
      <c r="F28" s="303"/>
      <c r="G28" s="303"/>
    </row>
    <row r="29" spans="1:9">
      <c r="A29" s="304"/>
      <c r="B29" s="304"/>
      <c r="C29" s="304"/>
      <c r="D29" s="304"/>
      <c r="E29" s="304"/>
      <c r="F29" s="304"/>
      <c r="G29" s="304"/>
    </row>
    <row r="30" spans="1:9">
      <c r="B30"/>
    </row>
    <row r="34" spans="2:2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BO02UWlnIh/EiyP6Y+d3B6lTOOX1fh/SdG8te9cy4rQ=</DigestValue>
    </Reference>
    <Reference URI="#idOfficeObject" Type="http://www.w3.org/2000/09/xmldsig#Object">
      <DigestMethod Algorithm="http://www.w3.org/2001/04/xmldsig-more#gostr3411"/>
      <DigestValue>e9yR58sOyLUljbRAjlFGzXuwURwYq+2ykU8SiARSP90=</DigestValue>
    </Reference>
  </SignedInfo>
  <SignatureValue>
    vTxqaKvgBIQfrBiILVCmrNF26CBZQmDeYJyJLMhtWIkyU9sHTvr1Zm8cis5iHJEWmYE5Yu4P
    BtQsI6oEUHX8sA==
  </SignatureValue>
  <KeyInfo>
    <X509Data>
      <X509Certificate>
          MIIK3DCCCougAwIBAgIRAK9j4HrEDMmA6BGpm1NGFlIwCAYGKoUDAgIDMIIBcTEeMBwGCSqG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vdGC0YAxKTAnBgNVBAoMINCQ0J4gItCf0KQgItCh0JrQkSDQmtC+0L3RgtGD0YAiMSkwJwYD
          VQQDDCDQkNCeICLQn9CkICLQodCa0JEg0JrQvtC90YLRg9GAIjAeFw0xODA4MDkwNzQ0MDBa
          Fw0xOTEwMDkwNzUzMDBaMIICUDE3MDUGA1UEAx4uBBAEHgAgACIEHQQeBBIEEwQeBCAEHgQU
          BB4EEQQbBC0EGwQVBBoEIgQgBB4AIjEXMBUGA1UEBB4OBBwEQwRABDAEMgQ4BD0xLzAtBgNV
          BCoeJgQQBDsENQQ6BEEENQQ5ACAEEAQ9BDAEQgQ+BDsETAQ1BDIEOARHMQswCQYDVQQGEwJS
          VTE3MDUGA1UECB4uADUAMwAgBB0EPgQyBDMEPgRABD4ENARBBDoEMARPACAEPgQxBDsEMARB
          BEIETDEpMCcGA1UEBx4gBBIENQQ7BDgEOgQ4BDkAIAQdBD4EMgQzBD4EQAQ+BDQxPTA7BgNV
          BAkeNAQjBBsEGAQmBBAAIAQaBB4EHgQfBBUEIAQQBCIEGAQSBB0EEAQvACwAIAQUBB4EHAAg
          ADgxNzA1BgNVBAoeLgQQBB4AIAAiBB0EHgQSBBMEHgQgBB4EFAQeBBEEGwQtBBsEFQQaBCIE
          IAQeACIxMTAvBgNVBAweKAQTBDUEPQQ1BEAEMAQ7BEwEPQRLBDkAIAQ0BDgEQAQ1BDoEQgQ+
          BEAxGDAWBgUqhQNkARINMTAyNTMwMDc4MDI2MjEWMBQGBSqFA2QDEgswMjczMDkxMTYyOTEa
          MBgGCCqFAwOBAwEBEgwwMDUzMjEwMzc3MTcxITAfBgkqhkiG9w0BCQEWEm1haWxAbm9rZXMu
          bmF0bS5ydTE+MDwGCSqGSIb3DQEJAhMvSU5OPTUzMjEwMzc3MTcvS1BQPTUzMjEwMTAwMS9P
          R1JOPTEwMjUzMDA3ODAyNjIwYzAcBgYqhQMCAhMwEgYHKoUDAgIkAAYHKoUDAgIeAQNDAARA
          j0RzERwjXoRgEUCD7pztFBWE0qdhVXShXXBQ5Nh2E9NZTkYAStBE1EKfQMRQs7ktsB6Nt3hb
          bTaacvjnASnlbKOCBhcwggYTMA4GA1UdDwEB/wQEAwIE8DAdBgNVHREEFjAUgRJtYWlsQG5v
          a2VzLm5hdG0ucnUwEwYDVR0gBAwwCjAIBgYqhQNkcQEwgb0GA1UdJQSBtTCBsgYIKwYBBQUH
          AwIGByqFAwICIgYGCCsGAQUFBwMEBggqhQMGAwECAQYIKoUDBgMBAwEGCCqFAwYDAQQBBggq
          hQMGAwEEAgYIKoUDBgMBBAMGByqFAwYgAQEGCCqFAwYgAQEBBggqhQMGIAEBAgYIKoUDBiAB
          AQMGBiqFAwOBcQYFKoUDBgMGByqFAwYDAQEGBSqFAwYgBggqhQMDBQoCDAYHKoUDAwcIAQYI
          KoUDAwcAAQ4wggGGBgNVHSMEggF9MIIBeYAUgHDPPi7kebNEiHdJDlVHFvDDrdahggFSpIIB
          TjCCAUoxHjAcBgkqhkiG9w0BCQEWD2RpdEBtaW5zdnlhei5ydTELMAkGA1UEBhMCUlUxHDAa
          BgNVBAgMEzc3INCzLiDQnNC+0YHQutCy0LAxFTATBgNVBAcMDNCc0L7RgdC60LLQsDE/MD0G
          A1UECQw2MTI1Mzc1INCzLiDQnNC+0YHQutCy0LAsINGD0LsuINCi0LLQtdGA0YHQutCw0Y8s
          INC0LiA3MSwwKgYDVQQKDCPQnNC40L3QutC+0LzRgdCy0Y/Qt9GMINCg0L7RgdGB0LjQuDEY
          MBYGBSqFA2QBEg0xMDQ3NzAyMDI2NzAxMRowGAYIKoUDA4EDAQESDDAwNzcxMDQ3NDM3NTFB
          MD8GA1UEAww40JPQvtC70L7QstC90L7QuSDRg9C00L7RgdGC0L7QstC10YDRj9GO0YnQuNC5
          INGG0LXQvdGC0YCCCwDtc8yuAAAAAAF6MB0GA1UdDgQWBBTN9GE0nU+OlWgPiCHIsZx5kucw
          VzArBgNVHRAEJDAigA8yMDE4MDgwOTA3NDQwMFqBDzIwMTkxMDA5MDc0NDAwWjCCATMGBSqF
          A2RwBIIBKDCCASQMKyLQmtGA0LjQv9GC0L7Qn9GA0L4gQ1NQIiAo0LLQtdGA0YHQuNGPIDQu
          MCkMUyLQo9C00L7RgdGC0L7QstC10YDRj9GO0YnQuNC5INGG0LXQvdGC0YAgItCa0YDQuNC/
          0YLQvtCf0YDQviDQo9CmIiDQstC10YDRgdC40LggMi4wDE/QodC10YDRgtC40YTQuNC60LDR
          giDRgdC+0L7RgtCy0LXRgtGB0YLQstC40Y8g4oSWINCh0KQvMTI0LTI4NjQg0L7RgiAyMC4w
          My4yMDE2DE/QodC10YDRgtC40YTQuNC60LDRgiDRgdC+0L7RgtCy0LXRgtGB0YLQstC40Y8g
          4oSWINCh0KQvMTI4LTI5ODMg0L7RgiAxOC4xMS4yMDE2MCMGBSqFA2RvBBoMGCLQmtGA0LjQ
          v9GC0L7Qn9GA0L4gQ1NQIjB0BgNVHR8EbTBrMDOgMaAvhi1odHRwOi8vY2RwLnNrYmtvbnR1
          ci5ydS9jZHAva29udHVyLXEtMjAxNy5jcmwwNKAyoDCGLmh0dHA6Ly9jZHAyLnNrYmtvbnR1
          ci5ydS9jZHAva29udHVyLXEtMjAxNy5jcmwwgc4GCCsGAQUFBwEBBIHBMIG+MDMGCCsGAQUF
          BzABhidodHRwOi8vcGtpLnNrYmtvbnR1ci5ydS9vY3NwcTIvb2NzcC5zcmYwQgYIKwYBBQUH
          MAKGNmh0dHA6Ly9jZHAuc2tia29udHVyLnJ1L2NlcnRpZmljYXRlcy9rb250dXItcS0yMDE3
          LmNydDBDBggrBgEFBQcwAoY3aHR0cDovL2NkcDIuc2tia29udHVyLnJ1L2NlcnRpZmljYXRl
          cy9rb250dXItcS0yMDE3LmNydDCBkwYHKoUDAgIxAgSBhzCBhDB0FkJodHRwOi8vY2Euc2ti
          a29udHVyLnJ1L2Fib3V0L2RvY3VtZW50cy9jcnlwdG9wcm8tbGljZW5zZS1xdWFsaWZpZWQM
          KtCh0JrQkSDQmtC+0L3RgtGD0YAg0Lgg0KHQtdGA0YLRg9C8LdCf0YDQvgMCBeAEDNuzF16L
          ytv8Kk79lzAIBgYqhQMCAgMDQQAPojejaUwTyCLVjQhODkyBK5bxh7KfmThf/1jyxf0zaMC/
          T3iq3PGzM6Ni0YH1OurudGVL5wHxXAwsevZ0IbAq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PaJ0Umo2C8xa2s8eMu/uOnFPGVw=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elMfHaJgmUyp5UznrQi6n28xF80=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iTmwQf4/6Z05gZMw2FCT+mPWpo8=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OTR7YjZMQKD6/PZxcBJ1Rzg7ghU=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OTR7YjZMQKD6/PZxcBJ1Rzg7ghU=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mwXGUFoJfPTkQWy/kbsZQp30e7g=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F0X8BnvgaWhyntFGYVyi9cYSbEA=</DigestValue>
      </Reference>
      <Reference URI="/xl/sharedStrings.xml?ContentType=application/vnd.openxmlformats-officedocument.spreadsheetml.sharedStrings+xml">
        <DigestMethod Algorithm="http://www.w3.org/2000/09/xmldsig#sha1"/>
        <DigestValue>0ILSTKJg9ZJ6n02syY/cuFnTuB0=</DigestValue>
      </Reference>
      <Reference URI="/xl/styles.xml?ContentType=application/vnd.openxmlformats-officedocument.spreadsheetml.styles+xml">
        <DigestMethod Algorithm="http://www.w3.org/2000/09/xmldsig#sha1"/>
        <DigestValue>cAEB0VA+xuQMqNyASUW1l5P2FBM=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82c0zzhQiFS4xqo/5WeH3x6omh0=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bKmwJ2DvjfS1bLS60nPu0DvjF5Q=</DigestValue>
      </Reference>
      <Reference URI="/xl/worksheets/sheet2.xml?ContentType=application/vnd.openxmlformats-officedocument.spreadsheetml.worksheet+xml">
        <DigestMethod Algorithm="http://www.w3.org/2000/09/xmldsig#sha1"/>
        <DigestValue>MZhDeaTeeU8fuXMw9GSuivF2TBw=</DigestValue>
      </Reference>
      <Reference URI="/xl/worksheets/sheet3.xml?ContentType=application/vnd.openxmlformats-officedocument.spreadsheetml.worksheet+xml">
        <DigestMethod Algorithm="http://www.w3.org/2000/09/xmldsig#sha1"/>
        <DigestValue>45+0dhTOypceMbbOkyChQ+ygrhU=</DigestValue>
      </Reference>
      <Reference URI="/xl/worksheets/sheet4.xml?ContentType=application/vnd.openxmlformats-officedocument.spreadsheetml.worksheet+xml">
        <DigestMethod Algorithm="http://www.w3.org/2000/09/xmldsig#sha1"/>
        <DigestValue>jjI71uKmzbhBXDx7/T2GfMh63ms=</DigestValue>
      </Reference>
      <Reference URI="/xl/worksheets/sheet5.xml?ContentType=application/vnd.openxmlformats-officedocument.spreadsheetml.worksheet+xml">
        <DigestMethod Algorithm="http://www.w3.org/2000/09/xmldsig#sha1"/>
        <DigestValue>2G2uz7grgXzsuao67vtZSqyudlM=</DigestValue>
      </Reference>
      <Reference URI="/xl/worksheets/sheet6.xml?ContentType=application/vnd.openxmlformats-officedocument.spreadsheetml.worksheet+xml">
        <DigestMethod Algorithm="http://www.w3.org/2000/09/xmldsig#sha1"/>
        <DigestValue>vt0Ya7WGK5oWaYfGMlmsli1Xy2M=</DigestValue>
      </Reference>
    </Manifest>
    <SignatureProperties>
      <SignatureProperty Id="idSignatureTime" Target="#idPackageSignature">
        <mdssi:SignatureTime>
          <mdssi:Format>YYYY-MM-DDThh:mm:ssTZD</mdssi:Format>
          <mdssi:Value>2019-02-26T13:03:12Z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Gorelkina-EV</cp:lastModifiedBy>
  <cp:lastPrinted>2019-02-26T12:54:28Z</cp:lastPrinted>
  <dcterms:created xsi:type="dcterms:W3CDTF">2009-07-27T10:10:26Z</dcterms:created>
  <dcterms:modified xsi:type="dcterms:W3CDTF">2019-02-26T13:01:41Z</dcterms:modified>
</cp:coreProperties>
</file>